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0" yWindow="792" windowWidth="21564" windowHeight="8664"/>
  </bookViews>
  <sheets>
    <sheet name="Investments" sheetId="1" r:id="rId1"/>
    <sheet name="Financials" sheetId="2" r:id="rId2"/>
    <sheet name="Revenues" sheetId="3" state="hidden" r:id="rId3"/>
    <sheet name="Diagrams" sheetId="4" r:id="rId4"/>
    <sheet name="Lizenz" sheetId="5" state="hidden" r:id="rId5"/>
  </sheets>
  <calcPr calcId="125725"/>
  <fileRecoveryPr repairLoad="1"/>
</workbook>
</file>

<file path=xl/calcChain.xml><?xml version="1.0" encoding="utf-8"?>
<calcChain xmlns="http://schemas.openxmlformats.org/spreadsheetml/2006/main">
  <c r="A47" i="4"/>
  <c r="O46"/>
  <c r="N46"/>
  <c r="M46"/>
  <c r="L46"/>
  <c r="K46"/>
  <c r="J46"/>
  <c r="I46"/>
  <c r="H46"/>
  <c r="G46"/>
  <c r="F46"/>
  <c r="E46"/>
  <c r="D46"/>
  <c r="C46"/>
  <c r="B46"/>
  <c r="A46"/>
  <c r="O45"/>
  <c r="N45"/>
  <c r="M45"/>
  <c r="L45"/>
  <c r="K45"/>
  <c r="J45"/>
  <c r="I45"/>
  <c r="H45"/>
  <c r="G45"/>
  <c r="F45"/>
  <c r="E45"/>
  <c r="D45"/>
  <c r="C45"/>
  <c r="B45"/>
  <c r="A45"/>
  <c r="O44"/>
  <c r="N44"/>
  <c r="M44"/>
  <c r="L44"/>
  <c r="K44"/>
  <c r="J44"/>
  <c r="I44"/>
  <c r="H44"/>
  <c r="G44"/>
  <c r="F44"/>
  <c r="E44"/>
  <c r="D44"/>
  <c r="C44"/>
  <c r="B44"/>
  <c r="A44"/>
  <c r="A43"/>
  <c r="A42"/>
  <c r="A41"/>
  <c r="A40"/>
  <c r="A39"/>
  <c r="A38"/>
  <c r="A37"/>
  <c r="A36"/>
  <c r="O35"/>
  <c r="N35"/>
  <c r="M35"/>
  <c r="L35"/>
  <c r="K35"/>
  <c r="J35"/>
  <c r="I35"/>
  <c r="H35"/>
  <c r="G35"/>
  <c r="F35"/>
  <c r="E35"/>
  <c r="D35"/>
  <c r="C35"/>
  <c r="B35"/>
  <c r="A32"/>
  <c r="O31"/>
  <c r="N31"/>
  <c r="M31"/>
  <c r="L31"/>
  <c r="K31"/>
  <c r="J31"/>
  <c r="I31"/>
  <c r="H31"/>
  <c r="G31"/>
  <c r="F31"/>
  <c r="E31"/>
  <c r="D31"/>
  <c r="C31"/>
  <c r="B31"/>
  <c r="A31"/>
  <c r="O30"/>
  <c r="N30"/>
  <c r="M30"/>
  <c r="L30"/>
  <c r="K30"/>
  <c r="J30"/>
  <c r="I30"/>
  <c r="H30"/>
  <c r="G30"/>
  <c r="F30"/>
  <c r="E30"/>
  <c r="D30"/>
  <c r="C30"/>
  <c r="B30"/>
  <c r="A30"/>
  <c r="O29"/>
  <c r="N29"/>
  <c r="M29"/>
  <c r="L29"/>
  <c r="K29"/>
  <c r="J29"/>
  <c r="I29"/>
  <c r="H29"/>
  <c r="G29"/>
  <c r="F29"/>
  <c r="E29"/>
  <c r="D29"/>
  <c r="C29"/>
  <c r="B29"/>
  <c r="A29"/>
  <c r="A28"/>
  <c r="A27"/>
  <c r="A26"/>
  <c r="A25"/>
  <c r="A24"/>
  <c r="A23"/>
  <c r="A22"/>
  <c r="A21"/>
  <c r="O20"/>
  <c r="N20"/>
  <c r="M20"/>
  <c r="L20"/>
  <c r="K20"/>
  <c r="J20"/>
  <c r="I20"/>
  <c r="H20"/>
  <c r="G20"/>
  <c r="F20"/>
  <c r="E20"/>
  <c r="D20"/>
  <c r="C20"/>
  <c r="B20"/>
  <c r="Q16"/>
  <c r="P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O13"/>
  <c r="N13"/>
  <c r="M13"/>
  <c r="L13"/>
  <c r="K13"/>
  <c r="J13"/>
  <c r="I13"/>
  <c r="H13"/>
  <c r="G13"/>
  <c r="F13"/>
  <c r="E13"/>
  <c r="D13"/>
  <c r="C13"/>
  <c r="B13"/>
  <c r="K57" i="3"/>
  <c r="J57"/>
  <c r="I57"/>
  <c r="H57"/>
  <c r="G57"/>
  <c r="F57"/>
  <c r="E56"/>
  <c r="D56"/>
  <c r="C55"/>
  <c r="E54"/>
  <c r="D54"/>
  <c r="E53"/>
  <c r="D53"/>
  <c r="E52"/>
  <c r="D52"/>
  <c r="E51"/>
  <c r="D51"/>
  <c r="E50"/>
  <c r="D50"/>
  <c r="E49"/>
  <c r="D49"/>
  <c r="O42"/>
  <c r="O29"/>
  <c r="O16"/>
  <c r="P252" i="2"/>
  <c r="O252"/>
  <c r="M252"/>
  <c r="L252"/>
  <c r="K252"/>
  <c r="J252"/>
  <c r="I252"/>
  <c r="H252"/>
  <c r="G252"/>
  <c r="F252"/>
  <c r="E252"/>
  <c r="D252"/>
  <c r="C252"/>
  <c r="B252"/>
  <c r="P249"/>
  <c r="O249"/>
  <c r="M249"/>
  <c r="L249"/>
  <c r="K249"/>
  <c r="J249"/>
  <c r="I249"/>
  <c r="H249"/>
  <c r="G249"/>
  <c r="F249"/>
  <c r="E249"/>
  <c r="D249"/>
  <c r="C249"/>
  <c r="B249"/>
  <c r="O247"/>
  <c r="M247"/>
  <c r="L247"/>
  <c r="K247"/>
  <c r="J247"/>
  <c r="I247"/>
  <c r="H247"/>
  <c r="G247"/>
  <c r="F247"/>
  <c r="E247"/>
  <c r="D247"/>
  <c r="C247"/>
  <c r="B247"/>
  <c r="B242"/>
  <c r="P241"/>
  <c r="O241"/>
  <c r="M241"/>
  <c r="L241"/>
  <c r="K241"/>
  <c r="J241"/>
  <c r="I241"/>
  <c r="H241"/>
  <c r="G241"/>
  <c r="F241"/>
  <c r="E241"/>
  <c r="D241"/>
  <c r="C241"/>
  <c r="P233"/>
  <c r="O233"/>
  <c r="N233"/>
  <c r="M233"/>
  <c r="L233"/>
  <c r="K233"/>
  <c r="J233"/>
  <c r="I233"/>
  <c r="H233"/>
  <c r="G233"/>
  <c r="F233"/>
  <c r="E233"/>
  <c r="D233"/>
  <c r="C233"/>
  <c r="B233"/>
  <c r="B234" s="1"/>
  <c r="B230"/>
  <c r="B231" s="1"/>
  <c r="P224"/>
  <c r="O224"/>
  <c r="N224"/>
  <c r="M224"/>
  <c r="L224"/>
  <c r="K224"/>
  <c r="J224"/>
  <c r="I224"/>
  <c r="H224"/>
  <c r="G224"/>
  <c r="F224"/>
  <c r="E224"/>
  <c r="D224"/>
  <c r="C224"/>
  <c r="B224"/>
  <c r="M219"/>
  <c r="L219"/>
  <c r="H219"/>
  <c r="I219" s="1"/>
  <c r="J219" s="1"/>
  <c r="K219" s="1"/>
  <c r="F219"/>
  <c r="G219" s="1"/>
  <c r="E219"/>
  <c r="D219"/>
  <c r="C219"/>
  <c r="K217"/>
  <c r="L217" s="1"/>
  <c r="M217" s="1"/>
  <c r="N217" s="1"/>
  <c r="O217" s="1"/>
  <c r="P217" s="1"/>
  <c r="J217"/>
  <c r="I217"/>
  <c r="E217"/>
  <c r="F217" s="1"/>
  <c r="G217" s="1"/>
  <c r="H217" s="1"/>
  <c r="C217"/>
  <c r="D217" s="1"/>
  <c r="B217"/>
  <c r="H215"/>
  <c r="I215" s="1"/>
  <c r="J215" s="1"/>
  <c r="K215" s="1"/>
  <c r="L215" s="1"/>
  <c r="M215" s="1"/>
  <c r="N215" s="1"/>
  <c r="O215" s="1"/>
  <c r="P215" s="1"/>
  <c r="G215"/>
  <c r="F215"/>
  <c r="D215"/>
  <c r="E215" s="1"/>
  <c r="C215"/>
  <c r="P209"/>
  <c r="O209"/>
  <c r="N209"/>
  <c r="M209"/>
  <c r="L209"/>
  <c r="K209"/>
  <c r="J209"/>
  <c r="I209"/>
  <c r="H209"/>
  <c r="G209"/>
  <c r="F209"/>
  <c r="E209"/>
  <c r="D209"/>
  <c r="C209"/>
  <c r="B209"/>
  <c r="L207"/>
  <c r="K207"/>
  <c r="J207"/>
  <c r="I207"/>
  <c r="H207"/>
  <c r="G207"/>
  <c r="F207"/>
  <c r="E207"/>
  <c r="D207"/>
  <c r="C207"/>
  <c r="B207"/>
  <c r="B201"/>
  <c r="M197"/>
  <c r="L197"/>
  <c r="K197"/>
  <c r="J197"/>
  <c r="I197"/>
  <c r="H197"/>
  <c r="G197"/>
  <c r="F197"/>
  <c r="E197"/>
  <c r="D197"/>
  <c r="C197"/>
  <c r="B197"/>
  <c r="I194"/>
  <c r="N186"/>
  <c r="N252" s="1"/>
  <c r="N180"/>
  <c r="B180"/>
  <c r="C230" s="1"/>
  <c r="C231" s="1"/>
  <c r="N179"/>
  <c r="N249" s="1"/>
  <c r="N178"/>
  <c r="M170"/>
  <c r="L170"/>
  <c r="K170"/>
  <c r="J170"/>
  <c r="I170"/>
  <c r="H170"/>
  <c r="G170"/>
  <c r="F170"/>
  <c r="E170"/>
  <c r="D170"/>
  <c r="C170"/>
  <c r="B170"/>
  <c r="N169"/>
  <c r="O169" s="1"/>
  <c r="P169" s="1"/>
  <c r="P168"/>
  <c r="O168"/>
  <c r="O197" s="1"/>
  <c r="N168"/>
  <c r="N197" s="1"/>
  <c r="M164"/>
  <c r="M196" s="1"/>
  <c r="L164"/>
  <c r="L196" s="1"/>
  <c r="K164"/>
  <c r="K196" s="1"/>
  <c r="J164"/>
  <c r="J196" s="1"/>
  <c r="I164"/>
  <c r="I196" s="1"/>
  <c r="H164"/>
  <c r="H196" s="1"/>
  <c r="G164"/>
  <c r="G196" s="1"/>
  <c r="F164"/>
  <c r="F196" s="1"/>
  <c r="E164"/>
  <c r="E196" s="1"/>
  <c r="D164"/>
  <c r="D196" s="1"/>
  <c r="C164"/>
  <c r="C196" s="1"/>
  <c r="B164"/>
  <c r="B196" s="1"/>
  <c r="N163"/>
  <c r="O162"/>
  <c r="P162" s="1"/>
  <c r="N162"/>
  <c r="N161"/>
  <c r="O161" s="1"/>
  <c r="P161" s="1"/>
  <c r="P160"/>
  <c r="O160"/>
  <c r="N160"/>
  <c r="P159"/>
  <c r="O159"/>
  <c r="N159"/>
  <c r="P158"/>
  <c r="O158"/>
  <c r="N158"/>
  <c r="P157"/>
  <c r="O157"/>
  <c r="N157"/>
  <c r="N164" s="1"/>
  <c r="N196" s="1"/>
  <c r="M153"/>
  <c r="M195" s="1"/>
  <c r="L153"/>
  <c r="L195" s="1"/>
  <c r="K153"/>
  <c r="K195" s="1"/>
  <c r="J153"/>
  <c r="J195" s="1"/>
  <c r="I153"/>
  <c r="I195" s="1"/>
  <c r="H153"/>
  <c r="H195" s="1"/>
  <c r="G153"/>
  <c r="G195" s="1"/>
  <c r="F153"/>
  <c r="F195" s="1"/>
  <c r="E153"/>
  <c r="E195" s="1"/>
  <c r="D153"/>
  <c r="D195" s="1"/>
  <c r="C153"/>
  <c r="C195" s="1"/>
  <c r="B153"/>
  <c r="B195" s="1"/>
  <c r="P152"/>
  <c r="O152"/>
  <c r="N152"/>
  <c r="O151"/>
  <c r="P151" s="1"/>
  <c r="N151"/>
  <c r="P150"/>
  <c r="O150"/>
  <c r="N150"/>
  <c r="N149"/>
  <c r="O149" s="1"/>
  <c r="P149" s="1"/>
  <c r="N148"/>
  <c r="O148" s="1"/>
  <c r="P148" s="1"/>
  <c r="P147"/>
  <c r="O147"/>
  <c r="N147"/>
  <c r="N146"/>
  <c r="O146" s="1"/>
  <c r="P146" s="1"/>
  <c r="N145"/>
  <c r="O145" s="1"/>
  <c r="P145" s="1"/>
  <c r="P144"/>
  <c r="O144"/>
  <c r="N144"/>
  <c r="M140"/>
  <c r="M194" s="1"/>
  <c r="L140"/>
  <c r="L194" s="1"/>
  <c r="K140"/>
  <c r="K194" s="1"/>
  <c r="J140"/>
  <c r="J194" s="1"/>
  <c r="I140"/>
  <c r="H140"/>
  <c r="H194" s="1"/>
  <c r="G140"/>
  <c r="G194" s="1"/>
  <c r="F140"/>
  <c r="F194" s="1"/>
  <c r="E140"/>
  <c r="E194" s="1"/>
  <c r="D140"/>
  <c r="D194" s="1"/>
  <c r="C140"/>
  <c r="C194" s="1"/>
  <c r="B140"/>
  <c r="B194" s="1"/>
  <c r="P139"/>
  <c r="O139"/>
  <c r="N139"/>
  <c r="N138"/>
  <c r="P137"/>
  <c r="O137"/>
  <c r="N137"/>
  <c r="N136"/>
  <c r="O136" s="1"/>
  <c r="P135"/>
  <c r="O135"/>
  <c r="N135"/>
  <c r="N140" s="1"/>
  <c r="N194" s="1"/>
  <c r="N130"/>
  <c r="M130"/>
  <c r="J130"/>
  <c r="F130"/>
  <c r="E130"/>
  <c r="N129"/>
  <c r="M129"/>
  <c r="L129"/>
  <c r="L130" s="1"/>
  <c r="K129"/>
  <c r="K130" s="1"/>
  <c r="J129"/>
  <c r="I129"/>
  <c r="I130" s="1"/>
  <c r="H129"/>
  <c r="H130" s="1"/>
  <c r="G129"/>
  <c r="G130" s="1"/>
  <c r="F129"/>
  <c r="E129"/>
  <c r="D129"/>
  <c r="D130" s="1"/>
  <c r="C129"/>
  <c r="O129" s="1"/>
  <c r="O128"/>
  <c r="Q127"/>
  <c r="P127"/>
  <c r="O127"/>
  <c r="O126"/>
  <c r="P126" s="1"/>
  <c r="Q126" s="1"/>
  <c r="O125"/>
  <c r="P125" s="1"/>
  <c r="Q125" s="1"/>
  <c r="O124"/>
  <c r="P124" s="1"/>
  <c r="Q124" s="1"/>
  <c r="P123"/>
  <c r="Q123" s="1"/>
  <c r="O123"/>
  <c r="P122"/>
  <c r="Q122" s="1"/>
  <c r="O122"/>
  <c r="O121"/>
  <c r="P121" s="1"/>
  <c r="Q121" s="1"/>
  <c r="Q120"/>
  <c r="P120"/>
  <c r="O120"/>
  <c r="Q119"/>
  <c r="P119"/>
  <c r="O119"/>
  <c r="O118"/>
  <c r="P118" s="1"/>
  <c r="Q118" s="1"/>
  <c r="O117"/>
  <c r="P117" s="1"/>
  <c r="Q117" s="1"/>
  <c r="O116"/>
  <c r="P116" s="1"/>
  <c r="Q116" s="1"/>
  <c r="P115"/>
  <c r="Q115" s="1"/>
  <c r="O115"/>
  <c r="O130" s="1"/>
  <c r="L111"/>
  <c r="K111"/>
  <c r="H111"/>
  <c r="D111"/>
  <c r="C111"/>
  <c r="N110"/>
  <c r="N111" s="1"/>
  <c r="M110"/>
  <c r="M111" s="1"/>
  <c r="L110"/>
  <c r="K110"/>
  <c r="J110"/>
  <c r="J111" s="1"/>
  <c r="I110"/>
  <c r="I111" s="1"/>
  <c r="H110"/>
  <c r="G110"/>
  <c r="G111" s="1"/>
  <c r="F110"/>
  <c r="F111" s="1"/>
  <c r="E110"/>
  <c r="E111" s="1"/>
  <c r="D110"/>
  <c r="C110"/>
  <c r="O109"/>
  <c r="O107"/>
  <c r="O106"/>
  <c r="O105"/>
  <c r="O104"/>
  <c r="O103"/>
  <c r="O102"/>
  <c r="P102" s="1"/>
  <c r="Q102" s="1"/>
  <c r="O101"/>
  <c r="P101" s="1"/>
  <c r="Q101" s="1"/>
  <c r="O100"/>
  <c r="P100" s="1"/>
  <c r="Q100" s="1"/>
  <c r="P99"/>
  <c r="Q99" s="1"/>
  <c r="O99"/>
  <c r="P98"/>
  <c r="Q98" s="1"/>
  <c r="O98"/>
  <c r="O97"/>
  <c r="P97" s="1"/>
  <c r="Q96"/>
  <c r="P96"/>
  <c r="O96"/>
  <c r="M92"/>
  <c r="L193" s="1"/>
  <c r="L92"/>
  <c r="I92"/>
  <c r="E92"/>
  <c r="D193" s="1"/>
  <c r="N91"/>
  <c r="N92" s="1"/>
  <c r="M91"/>
  <c r="L91"/>
  <c r="K91"/>
  <c r="K92" s="1"/>
  <c r="J91"/>
  <c r="J92" s="1"/>
  <c r="I91"/>
  <c r="H91"/>
  <c r="H92" s="1"/>
  <c r="G91"/>
  <c r="G92" s="1"/>
  <c r="F91"/>
  <c r="F92" s="1"/>
  <c r="E91"/>
  <c r="D91"/>
  <c r="D92" s="1"/>
  <c r="C91"/>
  <c r="O91" s="1"/>
  <c r="O90"/>
  <c r="P89"/>
  <c r="Q89" s="1"/>
  <c r="O89"/>
  <c r="O88"/>
  <c r="P88" s="1"/>
  <c r="Q88" s="1"/>
  <c r="Q87"/>
  <c r="P87"/>
  <c r="O87"/>
  <c r="Q86"/>
  <c r="P86"/>
  <c r="O86"/>
  <c r="O85"/>
  <c r="P85" s="1"/>
  <c r="Q84"/>
  <c r="P84"/>
  <c r="O84"/>
  <c r="Q83"/>
  <c r="P83"/>
  <c r="O83"/>
  <c r="O82"/>
  <c r="P82" s="1"/>
  <c r="Q81"/>
  <c r="P81"/>
  <c r="O81"/>
  <c r="O80"/>
  <c r="P80" s="1"/>
  <c r="Q80" s="1"/>
  <c r="P79"/>
  <c r="Q79" s="1"/>
  <c r="O79"/>
  <c r="P78"/>
  <c r="Q77"/>
  <c r="P77"/>
  <c r="O77"/>
  <c r="O92" s="1"/>
  <c r="P73"/>
  <c r="P247" s="1"/>
  <c r="N73"/>
  <c r="N247" s="1"/>
  <c r="L69"/>
  <c r="L199" s="1"/>
  <c r="K69"/>
  <c r="K199" s="1"/>
  <c r="J69"/>
  <c r="J199" s="1"/>
  <c r="I69"/>
  <c r="I199" s="1"/>
  <c r="H69"/>
  <c r="H199" s="1"/>
  <c r="G69"/>
  <c r="G199" s="1"/>
  <c r="F69"/>
  <c r="F199" s="1"/>
  <c r="E69"/>
  <c r="E199" s="1"/>
  <c r="D69"/>
  <c r="D199" s="1"/>
  <c r="C69"/>
  <c r="C199" s="1"/>
  <c r="B69"/>
  <c r="C216" s="1"/>
  <c r="D216" s="1"/>
  <c r="E216" s="1"/>
  <c r="F216" s="1"/>
  <c r="G216" s="1"/>
  <c r="H216" s="1"/>
  <c r="I216" s="1"/>
  <c r="J216" s="1"/>
  <c r="K216" s="1"/>
  <c r="L216" s="1"/>
  <c r="M216" s="1"/>
  <c r="M62"/>
  <c r="K62"/>
  <c r="E62"/>
  <c r="C62"/>
  <c r="M61"/>
  <c r="M63" s="1"/>
  <c r="L246" s="1"/>
  <c r="K61"/>
  <c r="K63" s="1"/>
  <c r="J246" s="1"/>
  <c r="E61"/>
  <c r="E63" s="1"/>
  <c r="D246" s="1"/>
  <c r="C61"/>
  <c r="C63" s="1"/>
  <c r="B246" s="1"/>
  <c r="L56"/>
  <c r="D56"/>
  <c r="N55"/>
  <c r="C53"/>
  <c r="D51"/>
  <c r="E51" s="1"/>
  <c r="C51"/>
  <c r="D50"/>
  <c r="D49"/>
  <c r="E49" s="1"/>
  <c r="C49"/>
  <c r="M45"/>
  <c r="N42" i="3" s="1"/>
  <c r="L45" i="2"/>
  <c r="M42" i="3" s="1"/>
  <c r="K45" i="2"/>
  <c r="L42" i="3" s="1"/>
  <c r="J45" i="2"/>
  <c r="K42" i="3" s="1"/>
  <c r="I45" i="2"/>
  <c r="J42" i="3" s="1"/>
  <c r="H45" i="2"/>
  <c r="I42" i="3" s="1"/>
  <c r="G45" i="2"/>
  <c r="H42" i="3" s="1"/>
  <c r="F45" i="2"/>
  <c r="G42" i="3" s="1"/>
  <c r="E45" i="2"/>
  <c r="F42" i="3" s="1"/>
  <c r="D45" i="2"/>
  <c r="E42" i="3" s="1"/>
  <c r="C45" i="2"/>
  <c r="D42" i="3" s="1"/>
  <c r="B45" i="2"/>
  <c r="C42" i="3" s="1"/>
  <c r="M44" i="2"/>
  <c r="N29" i="3" s="1"/>
  <c r="L44" i="2"/>
  <c r="M29" i="3" s="1"/>
  <c r="K44" i="2"/>
  <c r="L29" i="3" s="1"/>
  <c r="J44" i="2"/>
  <c r="K29" i="3" s="1"/>
  <c r="I44" i="2"/>
  <c r="J29" i="3" s="1"/>
  <c r="H44" i="2"/>
  <c r="I29" i="3" s="1"/>
  <c r="G44" i="2"/>
  <c r="H29" i="3" s="1"/>
  <c r="F44" i="2"/>
  <c r="G29" i="3" s="1"/>
  <c r="E44" i="2"/>
  <c r="F29" i="3" s="1"/>
  <c r="D44" i="2"/>
  <c r="E29" i="3" s="1"/>
  <c r="C44" i="2"/>
  <c r="D29" i="3" s="1"/>
  <c r="B44" i="2"/>
  <c r="C29" i="3" s="1"/>
  <c r="M43" i="2"/>
  <c r="N16" i="3" s="1"/>
  <c r="L43" i="2"/>
  <c r="M16" i="3" s="1"/>
  <c r="K43" i="2"/>
  <c r="L16" i="3" s="1"/>
  <c r="J43" i="2"/>
  <c r="K16" i="3" s="1"/>
  <c r="I43" i="2"/>
  <c r="J16" i="3" s="1"/>
  <c r="H43" i="2"/>
  <c r="I16" i="3" s="1"/>
  <c r="G43" i="2"/>
  <c r="H16" i="3" s="1"/>
  <c r="F43" i="2"/>
  <c r="G16" i="3" s="1"/>
  <c r="E43" i="2"/>
  <c r="F16" i="3" s="1"/>
  <c r="D43" i="2"/>
  <c r="E16" i="3" s="1"/>
  <c r="C43" i="2"/>
  <c r="D16" i="3" s="1"/>
  <c r="B43" i="2"/>
  <c r="C16" i="3" s="1"/>
  <c r="M41" i="2"/>
  <c r="AK49" i="4" s="1"/>
  <c r="K41" i="2"/>
  <c r="AI49" i="4" s="1"/>
  <c r="G41" i="2"/>
  <c r="AE49" i="4" s="1"/>
  <c r="E41" i="2"/>
  <c r="AC49" i="4" s="1"/>
  <c r="C41" i="2"/>
  <c r="AA49" i="4" s="1"/>
  <c r="M39" i="2"/>
  <c r="K39"/>
  <c r="J39"/>
  <c r="J41" s="1"/>
  <c r="AH49" i="4" s="1"/>
  <c r="I39" i="2"/>
  <c r="I41" s="1"/>
  <c r="AG49" i="4" s="1"/>
  <c r="H39" i="2"/>
  <c r="H41" s="1"/>
  <c r="AF49" i="4" s="1"/>
  <c r="G39" i="2"/>
  <c r="E39"/>
  <c r="C39"/>
  <c r="B39"/>
  <c r="G35"/>
  <c r="S49" i="4" s="1"/>
  <c r="L33" i="2"/>
  <c r="L35" s="1"/>
  <c r="X49" i="4" s="1"/>
  <c r="J33" i="2"/>
  <c r="J35" s="1"/>
  <c r="V49" i="4" s="1"/>
  <c r="H33" i="2"/>
  <c r="H35" s="1"/>
  <c r="T49" i="4" s="1"/>
  <c r="G33" i="2"/>
  <c r="D33"/>
  <c r="D35" s="1"/>
  <c r="P49" i="4" s="1"/>
  <c r="B33" i="2"/>
  <c r="L29"/>
  <c r="I29"/>
  <c r="I49" i="4" s="1"/>
  <c r="D29" i="2"/>
  <c r="M27"/>
  <c r="M56" s="1"/>
  <c r="L27"/>
  <c r="K27"/>
  <c r="K56" s="1"/>
  <c r="I27"/>
  <c r="I56" s="1"/>
  <c r="G27"/>
  <c r="G56" s="1"/>
  <c r="E27"/>
  <c r="E56" s="1"/>
  <c r="D27"/>
  <c r="C27"/>
  <c r="C56" s="1"/>
  <c r="Q20"/>
  <c r="B20"/>
  <c r="B22" s="1"/>
  <c r="B235" s="1"/>
  <c r="Q17"/>
  <c r="Q32" i="1"/>
  <c r="Q62" i="2" s="1"/>
  <c r="P32" i="1"/>
  <c r="P62" i="2" s="1"/>
  <c r="N32" i="1"/>
  <c r="N62" i="2" s="1"/>
  <c r="M32" i="1"/>
  <c r="L32"/>
  <c r="L62" i="2" s="1"/>
  <c r="K32" i="1"/>
  <c r="J32"/>
  <c r="J62" i="2" s="1"/>
  <c r="I32" i="1"/>
  <c r="I62" i="2" s="1"/>
  <c r="H32" i="1"/>
  <c r="H62" i="2" s="1"/>
  <c r="G32" i="1"/>
  <c r="G62" i="2" s="1"/>
  <c r="F32" i="1"/>
  <c r="F62" i="2" s="1"/>
  <c r="E32" i="1"/>
  <c r="D32"/>
  <c r="D62" i="2" s="1"/>
  <c r="C32" i="1"/>
  <c r="B32"/>
  <c r="B10" i="2" s="1"/>
  <c r="O31" i="1"/>
  <c r="O30"/>
  <c r="O29"/>
  <c r="O28"/>
  <c r="O27"/>
  <c r="O26"/>
  <c r="O25"/>
  <c r="O24"/>
  <c r="O23"/>
  <c r="O22"/>
  <c r="O21"/>
  <c r="Q17"/>
  <c r="Q61" i="2" s="1"/>
  <c r="P17" i="1"/>
  <c r="P61" i="2" s="1"/>
  <c r="N17" i="1"/>
  <c r="N61" i="2" s="1"/>
  <c r="N63" s="1"/>
  <c r="M246" s="1"/>
  <c r="M17" i="1"/>
  <c r="L17"/>
  <c r="L61" i="2" s="1"/>
  <c r="K17" i="1"/>
  <c r="J17"/>
  <c r="J61" i="2" s="1"/>
  <c r="I17" i="1"/>
  <c r="I61" i="2" s="1"/>
  <c r="H17" i="1"/>
  <c r="H61" i="2" s="1"/>
  <c r="G17" i="1"/>
  <c r="G61" i="2" s="1"/>
  <c r="G63" s="1"/>
  <c r="F246" s="1"/>
  <c r="F17" i="1"/>
  <c r="F61" i="2" s="1"/>
  <c r="F63" s="1"/>
  <c r="E246" s="1"/>
  <c r="E17" i="1"/>
  <c r="D17"/>
  <c r="D61" i="2" s="1"/>
  <c r="C17" i="1"/>
  <c r="B17"/>
  <c r="B61" i="2" s="1"/>
  <c r="O16" i="1"/>
  <c r="O15"/>
  <c r="O14"/>
  <c r="O13"/>
  <c r="O12"/>
  <c r="O11"/>
  <c r="O10"/>
  <c r="O9"/>
  <c r="O8"/>
  <c r="O7"/>
  <c r="O6"/>
  <c r="O5"/>
  <c r="L63" i="2" l="1"/>
  <c r="K246" s="1"/>
  <c r="D63"/>
  <c r="C246" s="1"/>
  <c r="B214"/>
  <c r="B12"/>
  <c r="I248"/>
  <c r="I193"/>
  <c r="Q82"/>
  <c r="Q92" s="1"/>
  <c r="P91"/>
  <c r="F49"/>
  <c r="E50"/>
  <c r="P136"/>
  <c r="P140" s="1"/>
  <c r="P194" s="1"/>
  <c r="O140"/>
  <c r="O194" s="1"/>
  <c r="P170"/>
  <c r="F248"/>
  <c r="F193"/>
  <c r="P92"/>
  <c r="E248"/>
  <c r="E193"/>
  <c r="M248"/>
  <c r="M193"/>
  <c r="Q97"/>
  <c r="Q111" s="1"/>
  <c r="P111"/>
  <c r="Q130"/>
  <c r="Q129"/>
  <c r="H63"/>
  <c r="G246" s="1"/>
  <c r="Q63"/>
  <c r="P246" s="1"/>
  <c r="P153"/>
  <c r="P195" s="1"/>
  <c r="G248"/>
  <c r="G193"/>
  <c r="O62"/>
  <c r="O153"/>
  <c r="O195" s="1"/>
  <c r="C248"/>
  <c r="C193"/>
  <c r="J63"/>
  <c r="I246" s="1"/>
  <c r="P110"/>
  <c r="P164"/>
  <c r="P196" s="1"/>
  <c r="F51"/>
  <c r="J248"/>
  <c r="J193"/>
  <c r="H193"/>
  <c r="I63"/>
  <c r="H246" s="1"/>
  <c r="P63"/>
  <c r="O246" s="1"/>
  <c r="O164"/>
  <c r="O196" s="1"/>
  <c r="H66" i="3"/>
  <c r="H63"/>
  <c r="I8" s="1"/>
  <c r="I7" i="4" s="1"/>
  <c r="H68" i="3"/>
  <c r="H65"/>
  <c r="H62"/>
  <c r="H67"/>
  <c r="H64"/>
  <c r="H69"/>
  <c r="I14" s="1"/>
  <c r="I16" i="4" s="1"/>
  <c r="L49"/>
  <c r="L240" i="2"/>
  <c r="F68" i="3"/>
  <c r="F65"/>
  <c r="F62"/>
  <c r="F67"/>
  <c r="F64"/>
  <c r="F69"/>
  <c r="G14" s="1"/>
  <c r="G16" i="4" s="1"/>
  <c r="F66" i="3"/>
  <c r="F63"/>
  <c r="G8" s="1"/>
  <c r="G7" i="4" s="1"/>
  <c r="C67" i="3"/>
  <c r="C64"/>
  <c r="C69"/>
  <c r="D14" s="1"/>
  <c r="D16" i="4" s="1"/>
  <c r="C66" i="3"/>
  <c r="C63"/>
  <c r="D8" s="1"/>
  <c r="D7" i="4" s="1"/>
  <c r="C68" i="3"/>
  <c r="C106" s="1"/>
  <c r="C65"/>
  <c r="C62"/>
  <c r="K67"/>
  <c r="K64"/>
  <c r="K69"/>
  <c r="L14" s="1"/>
  <c r="L16" i="4" s="1"/>
  <c r="K66" i="3"/>
  <c r="K63"/>
  <c r="L8" s="1"/>
  <c r="L7" i="4" s="1"/>
  <c r="K68" i="3"/>
  <c r="K106" s="1"/>
  <c r="K65"/>
  <c r="K62"/>
  <c r="F79"/>
  <c r="F114" s="1"/>
  <c r="F76"/>
  <c r="F111" s="1"/>
  <c r="F81"/>
  <c r="G27" s="1"/>
  <c r="G28" i="4" s="1"/>
  <c r="F78" i="3"/>
  <c r="F113" s="1"/>
  <c r="F75"/>
  <c r="G21" s="1"/>
  <c r="G22" i="4" s="1"/>
  <c r="F77" i="3"/>
  <c r="F74"/>
  <c r="I91"/>
  <c r="I88"/>
  <c r="I93"/>
  <c r="I90"/>
  <c r="I122" s="1"/>
  <c r="I87"/>
  <c r="J34" s="1"/>
  <c r="J37" i="4" s="1"/>
  <c r="I89" i="3"/>
  <c r="I86"/>
  <c r="O17" i="1"/>
  <c r="B35" i="2"/>
  <c r="N49" i="4" s="1"/>
  <c r="S44" i="2"/>
  <c r="D52"/>
  <c r="K248"/>
  <c r="N153"/>
  <c r="N195" s="1"/>
  <c r="O170"/>
  <c r="G22" i="3"/>
  <c r="G23" i="4" s="1"/>
  <c r="D49"/>
  <c r="D240" i="2"/>
  <c r="B64" i="3"/>
  <c r="B69"/>
  <c r="B66"/>
  <c r="B63"/>
  <c r="B68"/>
  <c r="B65"/>
  <c r="B62"/>
  <c r="B67"/>
  <c r="J64"/>
  <c r="J69"/>
  <c r="K14" s="1"/>
  <c r="K16" i="4" s="1"/>
  <c r="J66" i="3"/>
  <c r="J63"/>
  <c r="K8" s="1"/>
  <c r="K7" i="4" s="1"/>
  <c r="J68" i="3"/>
  <c r="J65"/>
  <c r="J62"/>
  <c r="J67"/>
  <c r="E76"/>
  <c r="E81"/>
  <c r="F27" s="1"/>
  <c r="F28" i="4" s="1"/>
  <c r="E78" i="3"/>
  <c r="E113" s="1"/>
  <c r="E75"/>
  <c r="F21" s="1"/>
  <c r="F22" i="4" s="1"/>
  <c r="E77" i="3"/>
  <c r="E74"/>
  <c r="E79"/>
  <c r="M76"/>
  <c r="M81"/>
  <c r="N27" s="1"/>
  <c r="N28" i="4" s="1"/>
  <c r="M78" i="3"/>
  <c r="M113" s="1"/>
  <c r="M75"/>
  <c r="N21" s="1"/>
  <c r="N22" i="4" s="1"/>
  <c r="M77" i="3"/>
  <c r="M74"/>
  <c r="M79"/>
  <c r="H88"/>
  <c r="H93"/>
  <c r="H90"/>
  <c r="H87"/>
  <c r="I34" s="1"/>
  <c r="I37" i="4" s="1"/>
  <c r="H89" i="3"/>
  <c r="H86"/>
  <c r="H91"/>
  <c r="S43" i="2"/>
  <c r="H27"/>
  <c r="F33"/>
  <c r="F35" s="1"/>
  <c r="R49" i="4" s="1"/>
  <c r="D39" i="2"/>
  <c r="D41" s="1"/>
  <c r="AB49" i="4" s="1"/>
  <c r="L39" i="2"/>
  <c r="L41" s="1"/>
  <c r="AJ49" i="4" s="1"/>
  <c r="O61" i="2"/>
  <c r="C92"/>
  <c r="Q110"/>
  <c r="N170"/>
  <c r="P197"/>
  <c r="N219"/>
  <c r="O219" s="1"/>
  <c r="P219" s="1"/>
  <c r="K78" i="3"/>
  <c r="K75"/>
  <c r="L21" s="1"/>
  <c r="L22" i="4" s="1"/>
  <c r="K77" i="3"/>
  <c r="K74"/>
  <c r="K79"/>
  <c r="K76"/>
  <c r="K81"/>
  <c r="L27" s="1"/>
  <c r="L28" i="4" s="1"/>
  <c r="I77" i="3"/>
  <c r="I74"/>
  <c r="I79"/>
  <c r="I76"/>
  <c r="I111" s="1"/>
  <c r="I81"/>
  <c r="J27" s="1"/>
  <c r="J28" i="4" s="1"/>
  <c r="I78" i="3"/>
  <c r="I75"/>
  <c r="J21" s="1"/>
  <c r="J22" i="4" s="1"/>
  <c r="I69" i="3"/>
  <c r="J14" s="1"/>
  <c r="J16" i="4" s="1"/>
  <c r="I66" i="3"/>
  <c r="I63"/>
  <c r="J8" s="1"/>
  <c r="J7" i="4" s="1"/>
  <c r="I68" i="3"/>
  <c r="I106" s="1"/>
  <c r="I65"/>
  <c r="I62"/>
  <c r="I67"/>
  <c r="I64"/>
  <c r="D81"/>
  <c r="E27" s="1"/>
  <c r="E28" i="4" s="1"/>
  <c r="D78" i="3"/>
  <c r="D113" s="1"/>
  <c r="D75"/>
  <c r="D77"/>
  <c r="D74"/>
  <c r="E20" s="1"/>
  <c r="D79"/>
  <c r="D114" s="1"/>
  <c r="D76"/>
  <c r="L81"/>
  <c r="M27" s="1"/>
  <c r="M28" i="4" s="1"/>
  <c r="L78" i="3"/>
  <c r="L113" s="1"/>
  <c r="L75"/>
  <c r="L77"/>
  <c r="L74"/>
  <c r="L79"/>
  <c r="L114" s="1"/>
  <c r="L76"/>
  <c r="G93"/>
  <c r="H40" s="1"/>
  <c r="H43" i="4" s="1"/>
  <c r="G90" i="3"/>
  <c r="G122" s="1"/>
  <c r="G87"/>
  <c r="H34" s="1"/>
  <c r="H37" i="4" s="1"/>
  <c r="G89" i="3"/>
  <c r="G86"/>
  <c r="G91"/>
  <c r="G88"/>
  <c r="G120" s="1"/>
  <c r="O32" i="1"/>
  <c r="M68" i="2" s="1"/>
  <c r="N68" s="1"/>
  <c r="O68" s="1"/>
  <c r="P68" s="1"/>
  <c r="F27"/>
  <c r="G29"/>
  <c r="E33"/>
  <c r="E35" s="1"/>
  <c r="Q49" i="4" s="1"/>
  <c r="M33" i="2"/>
  <c r="M35" s="1"/>
  <c r="Y49" i="4" s="1"/>
  <c r="D53" i="2"/>
  <c r="Q91"/>
  <c r="C130"/>
  <c r="D190"/>
  <c r="L190"/>
  <c r="D230"/>
  <c r="M21" i="3"/>
  <c r="M22" i="4" s="1"/>
  <c r="I240" i="2"/>
  <c r="H33" i="3"/>
  <c r="C78"/>
  <c r="C75"/>
  <c r="D21" s="1"/>
  <c r="D22" i="4" s="1"/>
  <c r="C77" i="3"/>
  <c r="C74"/>
  <c r="C79"/>
  <c r="C76"/>
  <c r="C81"/>
  <c r="D27" s="1"/>
  <c r="D28" i="4" s="1"/>
  <c r="G63" i="3"/>
  <c r="H8" s="1"/>
  <c r="H7" i="4" s="1"/>
  <c r="G68" i="3"/>
  <c r="G65"/>
  <c r="G62"/>
  <c r="G67"/>
  <c r="G64"/>
  <c r="G69"/>
  <c r="H14" s="1"/>
  <c r="H16" i="4" s="1"/>
  <c r="G66" i="3"/>
  <c r="B75"/>
  <c r="B77"/>
  <c r="B74"/>
  <c r="C20" s="1"/>
  <c r="B79"/>
  <c r="B76"/>
  <c r="B81"/>
  <c r="B78"/>
  <c r="J75"/>
  <c r="K21" s="1"/>
  <c r="K22" i="4" s="1"/>
  <c r="J77" i="3"/>
  <c r="J74"/>
  <c r="K20" s="1"/>
  <c r="J79"/>
  <c r="J76"/>
  <c r="J111" s="1"/>
  <c r="J81"/>
  <c r="K27" s="1"/>
  <c r="K28" i="4" s="1"/>
  <c r="J78" i="3"/>
  <c r="J113" s="1"/>
  <c r="E87"/>
  <c r="E89"/>
  <c r="E86"/>
  <c r="E91"/>
  <c r="E123" s="1"/>
  <c r="E88"/>
  <c r="E93"/>
  <c r="F40" s="1"/>
  <c r="F43" i="4" s="1"/>
  <c r="E90" i="3"/>
  <c r="M87"/>
  <c r="N34" s="1"/>
  <c r="N37" i="4" s="1"/>
  <c r="M89" i="3"/>
  <c r="M86"/>
  <c r="M91"/>
  <c r="M123" s="1"/>
  <c r="M88"/>
  <c r="M93"/>
  <c r="N40" s="1"/>
  <c r="N43" i="4" s="1"/>
  <c r="M90" i="3"/>
  <c r="H248" i="2"/>
  <c r="O110"/>
  <c r="E29"/>
  <c r="M29"/>
  <c r="C33"/>
  <c r="C35" s="1"/>
  <c r="O49" i="4" s="1"/>
  <c r="K33" i="2"/>
  <c r="K35" s="1"/>
  <c r="W49" i="4" s="1"/>
  <c r="C50" i="2"/>
  <c r="O111"/>
  <c r="N193" s="1"/>
  <c r="P129"/>
  <c r="P130" s="1"/>
  <c r="B182"/>
  <c r="B227"/>
  <c r="I190"/>
  <c r="L89" i="3"/>
  <c r="L86"/>
  <c r="L91"/>
  <c r="L88"/>
  <c r="L93"/>
  <c r="M40" s="1"/>
  <c r="M43" i="4" s="1"/>
  <c r="L90" i="3"/>
  <c r="L87"/>
  <c r="M34" s="1"/>
  <c r="M37" i="4" s="1"/>
  <c r="E65" i="3"/>
  <c r="E62"/>
  <c r="E67"/>
  <c r="E64"/>
  <c r="E69"/>
  <c r="F14" s="1"/>
  <c r="F16" i="4" s="1"/>
  <c r="E66" i="3"/>
  <c r="E63"/>
  <c r="F8" s="1"/>
  <c r="F7" i="4" s="1"/>
  <c r="E68" i="3"/>
  <c r="E106" s="1"/>
  <c r="M65"/>
  <c r="M62"/>
  <c r="M67"/>
  <c r="M64"/>
  <c r="M69"/>
  <c r="N14" s="1"/>
  <c r="N16" i="4" s="1"/>
  <c r="M66" i="3"/>
  <c r="M63"/>
  <c r="N8" s="1"/>
  <c r="N7" i="4" s="1"/>
  <c r="M68" i="3"/>
  <c r="M106" s="1"/>
  <c r="H77"/>
  <c r="H74"/>
  <c r="H79"/>
  <c r="H114" s="1"/>
  <c r="H76"/>
  <c r="H111" s="1"/>
  <c r="H81"/>
  <c r="I27" s="1"/>
  <c r="I28" i="4" s="1"/>
  <c r="H78" i="3"/>
  <c r="H75"/>
  <c r="I21" s="1"/>
  <c r="I22" i="4" s="1"/>
  <c r="C89" i="3"/>
  <c r="C86"/>
  <c r="C91"/>
  <c r="C88"/>
  <c r="C93"/>
  <c r="D40" s="1"/>
  <c r="D43" i="4" s="1"/>
  <c r="C90" i="3"/>
  <c r="C122" s="1"/>
  <c r="C87"/>
  <c r="D34" s="1"/>
  <c r="D37" i="4" s="1"/>
  <c r="K89" i="3"/>
  <c r="K86"/>
  <c r="L33" s="1"/>
  <c r="K91"/>
  <c r="K88"/>
  <c r="K93"/>
  <c r="L40" s="1"/>
  <c r="L43" i="4" s="1"/>
  <c r="K90" i="3"/>
  <c r="K122" s="1"/>
  <c r="K87"/>
  <c r="L34" s="1"/>
  <c r="L37" i="4" s="1"/>
  <c r="S45" i="2"/>
  <c r="T45" s="1"/>
  <c r="B27"/>
  <c r="J27"/>
  <c r="C29"/>
  <c r="K29"/>
  <c r="I33"/>
  <c r="I35" s="1"/>
  <c r="U49" i="4" s="1"/>
  <c r="B41" i="2"/>
  <c r="Z49" i="4" s="1"/>
  <c r="B62" i="2"/>
  <c r="B63" s="1"/>
  <c r="K193"/>
  <c r="F90" i="3"/>
  <c r="F87"/>
  <c r="G34" s="1"/>
  <c r="G37" i="4" s="1"/>
  <c r="F89" i="3"/>
  <c r="F86"/>
  <c r="F91"/>
  <c r="F88"/>
  <c r="F93"/>
  <c r="G40" s="1"/>
  <c r="G43" i="4" s="1"/>
  <c r="D89" i="3"/>
  <c r="D86"/>
  <c r="D91"/>
  <c r="D88"/>
  <c r="D93"/>
  <c r="E40" s="1"/>
  <c r="E43" i="4" s="1"/>
  <c r="D90" i="3"/>
  <c r="D87"/>
  <c r="E34" s="1"/>
  <c r="E37" i="4" s="1"/>
  <c r="D62" i="3"/>
  <c r="D67"/>
  <c r="D64"/>
  <c r="D69"/>
  <c r="E14" s="1"/>
  <c r="E16" i="4" s="1"/>
  <c r="D66" i="3"/>
  <c r="D63"/>
  <c r="E8" s="1"/>
  <c r="E7" i="4" s="1"/>
  <c r="D68" i="3"/>
  <c r="D106" s="1"/>
  <c r="D65"/>
  <c r="L62"/>
  <c r="L67"/>
  <c r="L64"/>
  <c r="L69"/>
  <c r="M14" s="1"/>
  <c r="M16" i="4" s="1"/>
  <c r="L66" i="3"/>
  <c r="L63"/>
  <c r="M8" s="1"/>
  <c r="M7" i="4" s="1"/>
  <c r="L68" i="3"/>
  <c r="L106" s="1"/>
  <c r="L65"/>
  <c r="G74"/>
  <c r="G79"/>
  <c r="G114" s="1"/>
  <c r="G76"/>
  <c r="G81"/>
  <c r="H27" s="1"/>
  <c r="H28" i="4" s="1"/>
  <c r="G78" i="3"/>
  <c r="G75"/>
  <c r="H21" s="1"/>
  <c r="H22" i="4" s="1"/>
  <c r="G80" i="3"/>
  <c r="G115" s="1"/>
  <c r="G77"/>
  <c r="B86"/>
  <c r="C33" s="1"/>
  <c r="B91"/>
  <c r="B88"/>
  <c r="B93"/>
  <c r="B90"/>
  <c r="C37" s="1"/>
  <c r="B87"/>
  <c r="B92"/>
  <c r="B89"/>
  <c r="J86"/>
  <c r="K33" s="1"/>
  <c r="J91"/>
  <c r="J88"/>
  <c r="J93"/>
  <c r="K40" s="1"/>
  <c r="K43" i="4" s="1"/>
  <c r="J90" i="3"/>
  <c r="J122" s="1"/>
  <c r="J87"/>
  <c r="K34" s="1"/>
  <c r="K37" i="4" s="1"/>
  <c r="J92" i="3"/>
  <c r="J124" s="1"/>
  <c r="J89"/>
  <c r="F39" i="2"/>
  <c r="F41" s="1"/>
  <c r="AD49" i="4" s="1"/>
  <c r="D248" i="2"/>
  <c r="L248"/>
  <c r="B199"/>
  <c r="H35" i="3"/>
  <c r="H38" i="4" s="1"/>
  <c r="F13" i="3"/>
  <c r="F12" i="4" s="1"/>
  <c r="G20" i="3"/>
  <c r="C22"/>
  <c r="I25"/>
  <c r="I26" i="4" s="1"/>
  <c r="D33" i="3"/>
  <c r="F34"/>
  <c r="F37" i="4" s="1"/>
  <c r="F38" i="3"/>
  <c r="F41" i="4" s="1"/>
  <c r="J40" i="3"/>
  <c r="J43" i="4" s="1"/>
  <c r="M13" i="3"/>
  <c r="M12" i="4" s="1"/>
  <c r="F20" i="3"/>
  <c r="N20"/>
  <c r="N24"/>
  <c r="N25" i="4" s="1"/>
  <c r="I40" i="3"/>
  <c r="I43" i="4" s="1"/>
  <c r="E55" i="3"/>
  <c r="E92" s="1"/>
  <c r="E124" s="1"/>
  <c r="D13"/>
  <c r="D12" i="4" s="1"/>
  <c r="L13" i="3"/>
  <c r="L12" i="4" s="1"/>
  <c r="M20" i="3"/>
  <c r="I22"/>
  <c r="I23" i="4" s="1"/>
  <c r="E24" i="3"/>
  <c r="E25" i="4" s="1"/>
  <c r="M24" i="3"/>
  <c r="M25" i="4" s="1"/>
  <c r="J33" i="3"/>
  <c r="D55"/>
  <c r="B80" s="1"/>
  <c r="E21"/>
  <c r="E22" i="4" s="1"/>
  <c r="C24" i="3"/>
  <c r="H25" l="1"/>
  <c r="H26" i="4" s="1"/>
  <c r="K22" i="3"/>
  <c r="K23" i="4" s="1"/>
  <c r="K37" i="3"/>
  <c r="K40" i="4" s="1"/>
  <c r="N13" i="3"/>
  <c r="N12" i="4" s="1"/>
  <c r="F24" i="3"/>
  <c r="F25" i="4" s="1"/>
  <c r="J22" i="3"/>
  <c r="J23" i="4" s="1"/>
  <c r="D37" i="3"/>
  <c r="D40" i="4" s="1"/>
  <c r="E25" i="3"/>
  <c r="E26" i="4" s="1"/>
  <c r="G25" i="3"/>
  <c r="G26" i="4" s="1"/>
  <c r="L37" i="3"/>
  <c r="L40" i="4" s="1"/>
  <c r="J37" i="3"/>
  <c r="J40" i="4" s="1"/>
  <c r="G24" i="3"/>
  <c r="G25" i="4" s="1"/>
  <c r="H37" i="3"/>
  <c r="H40" i="4" s="1"/>
  <c r="P248" i="2"/>
  <c r="P193"/>
  <c r="B115" i="3"/>
  <c r="N87"/>
  <c r="C34"/>
  <c r="F123"/>
  <c r="G38"/>
  <c r="G41" i="4" s="1"/>
  <c r="C52" i="2"/>
  <c r="N81" i="3"/>
  <c r="C27"/>
  <c r="C111"/>
  <c r="D22"/>
  <c r="D23" i="4" s="1"/>
  <c r="H36"/>
  <c r="H38" i="3"/>
  <c r="H41" i="4" s="1"/>
  <c r="G123" i="3"/>
  <c r="I105"/>
  <c r="J12"/>
  <c r="J11" i="4" s="1"/>
  <c r="J24" i="3"/>
  <c r="J25" i="4" s="1"/>
  <c r="I113" i="3"/>
  <c r="K111"/>
  <c r="L22"/>
  <c r="L23" i="4" s="1"/>
  <c r="C8" i="3"/>
  <c r="C7" i="4" s="1"/>
  <c r="N63" i="3"/>
  <c r="O8" s="1"/>
  <c r="L7"/>
  <c r="K70"/>
  <c r="D7"/>
  <c r="C70"/>
  <c r="G49" i="2"/>
  <c r="F50"/>
  <c r="C214"/>
  <c r="B218"/>
  <c r="K92" i="3"/>
  <c r="K124" s="1"/>
  <c r="C92"/>
  <c r="C124" s="1"/>
  <c r="H80"/>
  <c r="H115" s="1"/>
  <c r="D122"/>
  <c r="E37"/>
  <c r="E40" i="4" s="1"/>
  <c r="F120" i="3"/>
  <c r="G35"/>
  <c r="G38" i="4" s="1"/>
  <c r="L36" i="3"/>
  <c r="L39" i="4" s="1"/>
  <c r="K121" i="3"/>
  <c r="D36"/>
  <c r="D39" i="4" s="1"/>
  <c r="C121" i="3"/>
  <c r="I23"/>
  <c r="I24" i="4" s="1"/>
  <c r="H112" i="3"/>
  <c r="N10"/>
  <c r="N9" i="4" s="1"/>
  <c r="M103" i="3"/>
  <c r="F10"/>
  <c r="F9" i="4" s="1"/>
  <c r="E103" i="3"/>
  <c r="N37"/>
  <c r="N40" i="4" s="1"/>
  <c r="M122" i="3"/>
  <c r="F37"/>
  <c r="F40" i="4" s="1"/>
  <c r="E122" i="3"/>
  <c r="N78"/>
  <c r="N113" s="1"/>
  <c r="B113"/>
  <c r="G104"/>
  <c r="H11"/>
  <c r="H10" i="4" s="1"/>
  <c r="M22" i="3"/>
  <c r="M23" i="4" s="1"/>
  <c r="L111" i="3"/>
  <c r="E22"/>
  <c r="E23" i="4" s="1"/>
  <c r="D111" i="3"/>
  <c r="J9"/>
  <c r="J8" i="4" s="1"/>
  <c r="I102" i="3"/>
  <c r="J106"/>
  <c r="K13"/>
  <c r="K12" i="4" s="1"/>
  <c r="N68" i="3"/>
  <c r="N106" s="1"/>
  <c r="B106"/>
  <c r="C13"/>
  <c r="J38"/>
  <c r="J41" i="4" s="1"/>
  <c r="I123" i="3"/>
  <c r="K105"/>
  <c r="L12"/>
  <c r="L11" i="4" s="1"/>
  <c r="C105" i="3"/>
  <c r="D12"/>
  <c r="D11" i="4" s="1"/>
  <c r="F106" i="3"/>
  <c r="G13"/>
  <c r="G12" i="4" s="1"/>
  <c r="I13" i="3"/>
  <c r="I12" i="4" s="1"/>
  <c r="H106" i="3"/>
  <c r="O248" i="2"/>
  <c r="O193"/>
  <c r="B14"/>
  <c r="L92" i="3"/>
  <c r="L124" s="1"/>
  <c r="N38"/>
  <c r="N41" i="4" s="1"/>
  <c r="H92" i="3"/>
  <c r="H124" s="1"/>
  <c r="M80"/>
  <c r="M115" s="1"/>
  <c r="E80"/>
  <c r="E115" s="1"/>
  <c r="C36" i="4"/>
  <c r="C40"/>
  <c r="G21"/>
  <c r="M10" i="3"/>
  <c r="M9" i="4" s="1"/>
  <c r="L103" i="3"/>
  <c r="E10"/>
  <c r="E9" i="4" s="1"/>
  <c r="D103" i="3"/>
  <c r="B56" i="2"/>
  <c r="B29"/>
  <c r="B50"/>
  <c r="B190"/>
  <c r="B52"/>
  <c r="N27"/>
  <c r="N29" s="1"/>
  <c r="I20" i="3"/>
  <c r="H82"/>
  <c r="M70"/>
  <c r="N7"/>
  <c r="E70"/>
  <c r="F7"/>
  <c r="L121"/>
  <c r="M36"/>
  <c r="M39" i="4" s="1"/>
  <c r="C21" i="3"/>
  <c r="N75"/>
  <c r="D24"/>
  <c r="D25" i="4" s="1"/>
  <c r="C113" i="3"/>
  <c r="L24"/>
  <c r="L25" i="4" s="1"/>
  <c r="K113" i="3"/>
  <c r="M67" i="2"/>
  <c r="O67"/>
  <c r="O69" s="1"/>
  <c r="O199" s="1"/>
  <c r="P67"/>
  <c r="P69" s="1"/>
  <c r="P199" s="1"/>
  <c r="O63"/>
  <c r="N246" s="1"/>
  <c r="H121" i="3"/>
  <c r="I36"/>
  <c r="I39" i="4" s="1"/>
  <c r="M112" i="3"/>
  <c r="N23"/>
  <c r="N24" i="4" s="1"/>
  <c r="E112" i="3"/>
  <c r="F23"/>
  <c r="F24" i="4" s="1"/>
  <c r="K10" i="3"/>
  <c r="K9" i="4" s="1"/>
  <c r="J103" i="3"/>
  <c r="N65"/>
  <c r="C10"/>
  <c r="C9" i="4" s="1"/>
  <c r="B103" i="3"/>
  <c r="I120"/>
  <c r="J35"/>
  <c r="J38" i="4" s="1"/>
  <c r="L9" i="3"/>
  <c r="L8" i="4" s="1"/>
  <c r="K102" i="3"/>
  <c r="D9"/>
  <c r="D8" i="4" s="1"/>
  <c r="C102" i="3"/>
  <c r="G10"/>
  <c r="G9" i="4" s="1"/>
  <c r="F103" i="3"/>
  <c r="H103"/>
  <c r="I10"/>
  <c r="I9" i="4" s="1"/>
  <c r="C94" i="3"/>
  <c r="I80"/>
  <c r="I115" s="1"/>
  <c r="J13"/>
  <c r="J12" i="4" s="1"/>
  <c r="N33" i="2"/>
  <c r="N89" i="3"/>
  <c r="N121" s="1"/>
  <c r="B121"/>
  <c r="C36"/>
  <c r="C21" i="4"/>
  <c r="B94" i="3"/>
  <c r="N86"/>
  <c r="G82"/>
  <c r="H20"/>
  <c r="L70"/>
  <c r="M7"/>
  <c r="D70"/>
  <c r="E7"/>
  <c r="G37"/>
  <c r="G40" i="4" s="1"/>
  <c r="F122" i="3"/>
  <c r="J56" i="2"/>
  <c r="J29"/>
  <c r="K123" i="3"/>
  <c r="L38"/>
  <c r="L41" i="4" s="1"/>
  <c r="C123" i="3"/>
  <c r="D38"/>
  <c r="D41" i="4" s="1"/>
  <c r="N12" i="3"/>
  <c r="N11" i="4" s="1"/>
  <c r="M105" i="3"/>
  <c r="F12"/>
  <c r="F11" i="4" s="1"/>
  <c r="E105" i="3"/>
  <c r="M33"/>
  <c r="B250" i="2"/>
  <c r="B202"/>
  <c r="H13" i="3"/>
  <c r="H12" i="4" s="1"/>
  <c r="G106" i="3"/>
  <c r="F56" i="2"/>
  <c r="F29"/>
  <c r="I104" i="3"/>
  <c r="J11"/>
  <c r="J10" i="4" s="1"/>
  <c r="J23" i="3"/>
  <c r="J24" i="4" s="1"/>
  <c r="I112" i="3"/>
  <c r="B248" i="2"/>
  <c r="B193"/>
  <c r="I33" i="3"/>
  <c r="H94"/>
  <c r="J70"/>
  <c r="K7"/>
  <c r="N62"/>
  <c r="B70"/>
  <c r="C7"/>
  <c r="F70"/>
  <c r="G7"/>
  <c r="H70"/>
  <c r="I7"/>
  <c r="J94"/>
  <c r="D92"/>
  <c r="D124" s="1"/>
  <c r="M92"/>
  <c r="M124" s="1"/>
  <c r="J80"/>
  <c r="J115" s="1"/>
  <c r="D36" i="4"/>
  <c r="M21"/>
  <c r="F21"/>
  <c r="H26" i="3"/>
  <c r="H27" i="4" s="1"/>
  <c r="I26" i="3"/>
  <c r="I27" i="4" s="1"/>
  <c r="J26" i="3"/>
  <c r="J27" i="4" s="1"/>
  <c r="C26" i="3"/>
  <c r="H23"/>
  <c r="H24" i="4" s="1"/>
  <c r="G112" i="3"/>
  <c r="C23" i="4"/>
  <c r="J123" i="3"/>
  <c r="K38"/>
  <c r="K41" i="4" s="1"/>
  <c r="B123" i="3"/>
  <c r="C38"/>
  <c r="N91"/>
  <c r="N123" s="1"/>
  <c r="L105"/>
  <c r="M12"/>
  <c r="M11" i="4" s="1"/>
  <c r="D105" i="3"/>
  <c r="E12"/>
  <c r="E11" i="4" s="1"/>
  <c r="D121" i="3"/>
  <c r="E36"/>
  <c r="E39" i="4" s="1"/>
  <c r="C49"/>
  <c r="C240" i="2"/>
  <c r="C190"/>
  <c r="K120" i="3"/>
  <c r="K125" s="1"/>
  <c r="L35"/>
  <c r="L38" i="4" s="1"/>
  <c r="C120" i="3"/>
  <c r="C125" s="1"/>
  <c r="D35"/>
  <c r="D38" i="4" s="1"/>
  <c r="M102" i="3"/>
  <c r="N9"/>
  <c r="N8" i="4" s="1"/>
  <c r="E102" i="3"/>
  <c r="F9"/>
  <c r="F8" i="4" s="1"/>
  <c r="L123" i="3"/>
  <c r="M38"/>
  <c r="M41" i="4" s="1"/>
  <c r="E49"/>
  <c r="E240" i="2"/>
  <c r="E190"/>
  <c r="M121" i="3"/>
  <c r="N36"/>
  <c r="N39" i="4" s="1"/>
  <c r="E121" i="3"/>
  <c r="F36"/>
  <c r="F39" i="4" s="1"/>
  <c r="J112" i="3"/>
  <c r="K23"/>
  <c r="K24" i="4" s="1"/>
  <c r="B112" i="3"/>
  <c r="C23"/>
  <c r="N77"/>
  <c r="N112" s="1"/>
  <c r="H10"/>
  <c r="H9" i="4" s="1"/>
  <c r="G103" i="3"/>
  <c r="D231" i="2"/>
  <c r="C182"/>
  <c r="E230"/>
  <c r="G49" i="4"/>
  <c r="G190" i="2"/>
  <c r="G240"/>
  <c r="J20" i="3"/>
  <c r="I82"/>
  <c r="I38"/>
  <c r="I41" i="4" s="1"/>
  <c r="H123" i="3"/>
  <c r="N25"/>
  <c r="N26" i="4" s="1"/>
  <c r="M114" i="3"/>
  <c r="F25"/>
  <c r="F26" i="4" s="1"/>
  <c r="E114" i="3"/>
  <c r="J105"/>
  <c r="K12"/>
  <c r="K11" i="4" s="1"/>
  <c r="N67" i="3"/>
  <c r="N105" s="1"/>
  <c r="B105"/>
  <c r="C12"/>
  <c r="K104"/>
  <c r="L11"/>
  <c r="L10" i="4" s="1"/>
  <c r="C104" i="3"/>
  <c r="D11"/>
  <c r="D10" i="4" s="1"/>
  <c r="F105" i="3"/>
  <c r="G12"/>
  <c r="G11" i="4" s="1"/>
  <c r="H105" i="3"/>
  <c r="I12"/>
  <c r="I11" i="4" s="1"/>
  <c r="C80" i="3"/>
  <c r="C115" s="1"/>
  <c r="K80"/>
  <c r="K115" s="1"/>
  <c r="C54" i="2"/>
  <c r="C57" s="1"/>
  <c r="E21" i="4"/>
  <c r="B124" i="3"/>
  <c r="J121"/>
  <c r="K36"/>
  <c r="K39" i="4" s="1"/>
  <c r="C25"/>
  <c r="K39" i="3"/>
  <c r="K42" i="4" s="1"/>
  <c r="C39" i="3"/>
  <c r="L39"/>
  <c r="L42" i="4" s="1"/>
  <c r="D39" i="3"/>
  <c r="D42" i="4" s="1"/>
  <c r="M39" i="3"/>
  <c r="M42" i="4" s="1"/>
  <c r="E39" i="3"/>
  <c r="E42" i="4" s="1"/>
  <c r="N39" i="3"/>
  <c r="N42" i="4" s="1"/>
  <c r="F39" i="3"/>
  <c r="F42" i="4" s="1"/>
  <c r="J120" i="3"/>
  <c r="K35"/>
  <c r="K38" i="4" s="1"/>
  <c r="B120" i="3"/>
  <c r="C35"/>
  <c r="N88"/>
  <c r="N120" s="1"/>
  <c r="G111"/>
  <c r="H22"/>
  <c r="H23" i="4" s="1"/>
  <c r="M9" i="3"/>
  <c r="M8" i="4" s="1"/>
  <c r="L102" i="3"/>
  <c r="E9"/>
  <c r="E8" i="4" s="1"/>
  <c r="D102" i="3"/>
  <c r="D94"/>
  <c r="E33"/>
  <c r="K49" i="4"/>
  <c r="K240" i="2"/>
  <c r="K190"/>
  <c r="L120" i="3"/>
  <c r="M35"/>
  <c r="M38" i="4" s="1"/>
  <c r="K21"/>
  <c r="M49"/>
  <c r="M240" i="2"/>
  <c r="M190"/>
  <c r="N33" i="3"/>
  <c r="F33"/>
  <c r="E94"/>
  <c r="B82"/>
  <c r="N74"/>
  <c r="G70"/>
  <c r="H7"/>
  <c r="C112"/>
  <c r="D23"/>
  <c r="D24" i="4" s="1"/>
  <c r="I114" i="3"/>
  <c r="J25"/>
  <c r="J26" i="4" s="1"/>
  <c r="K112" i="3"/>
  <c r="L23"/>
  <c r="L24" i="4" s="1"/>
  <c r="H120" i="3"/>
  <c r="I35"/>
  <c r="I38" i="4" s="1"/>
  <c r="N22" i="3"/>
  <c r="N23" i="4" s="1"/>
  <c r="M111" i="3"/>
  <c r="F22"/>
  <c r="F23" i="4" s="1"/>
  <c r="E111" i="3"/>
  <c r="K9"/>
  <c r="K8" i="4" s="1"/>
  <c r="J102" i="3"/>
  <c r="C9"/>
  <c r="C8" i="4" s="1"/>
  <c r="N64" i="3"/>
  <c r="B102"/>
  <c r="F102"/>
  <c r="G9"/>
  <c r="G8" i="4" s="1"/>
  <c r="I9" i="3"/>
  <c r="I8" i="4" s="1"/>
  <c r="H102" i="3"/>
  <c r="F92"/>
  <c r="F124" s="1"/>
  <c r="G92"/>
  <c r="G124" s="1"/>
  <c r="L80"/>
  <c r="L115" s="1"/>
  <c r="D80"/>
  <c r="D115" s="1"/>
  <c r="E52" i="2"/>
  <c r="N248"/>
  <c r="N93" i="3"/>
  <c r="C40"/>
  <c r="D123"/>
  <c r="E38"/>
  <c r="E41" i="4" s="1"/>
  <c r="F121" i="3"/>
  <c r="G36"/>
  <c r="G39" i="4" s="1"/>
  <c r="I24" i="3"/>
  <c r="I25" i="4" s="1"/>
  <c r="H113" i="3"/>
  <c r="M104"/>
  <c r="N11"/>
  <c r="N10" i="4" s="1"/>
  <c r="E104" i="3"/>
  <c r="F11"/>
  <c r="F10" i="4" s="1"/>
  <c r="K25" i="3"/>
  <c r="K26" i="4" s="1"/>
  <c r="J114" i="3"/>
  <c r="N79"/>
  <c r="N114" s="1"/>
  <c r="C25"/>
  <c r="B114"/>
  <c r="G105"/>
  <c r="H12"/>
  <c r="H11" i="4" s="1"/>
  <c r="D20" i="3"/>
  <c r="C82"/>
  <c r="G121"/>
  <c r="H36"/>
  <c r="H39" i="4" s="1"/>
  <c r="L112" i="3"/>
  <c r="M23"/>
  <c r="M24" i="4" s="1"/>
  <c r="D112" i="3"/>
  <c r="E23"/>
  <c r="E24" i="4" s="1"/>
  <c r="J10" i="3"/>
  <c r="J9" i="4" s="1"/>
  <c r="I103" i="3"/>
  <c r="L20"/>
  <c r="K82"/>
  <c r="H56" i="2"/>
  <c r="H29"/>
  <c r="C14" i="3"/>
  <c r="N69"/>
  <c r="F52" i="2"/>
  <c r="G51"/>
  <c r="K24" i="3"/>
  <c r="K25" i="4" s="1"/>
  <c r="M25" i="3"/>
  <c r="M26" i="4" s="1"/>
  <c r="I92" i="3"/>
  <c r="I124" s="1"/>
  <c r="F80"/>
  <c r="F115" s="1"/>
  <c r="K36" i="4"/>
  <c r="L36"/>
  <c r="N21"/>
  <c r="J36"/>
  <c r="N90" i="3"/>
  <c r="N122" s="1"/>
  <c r="B122"/>
  <c r="G113"/>
  <c r="H24"/>
  <c r="H25" i="4" s="1"/>
  <c r="L104" i="3"/>
  <c r="M11"/>
  <c r="M10" i="4" s="1"/>
  <c r="D104" i="3"/>
  <c r="E11"/>
  <c r="E10" i="4" s="1"/>
  <c r="D120" i="3"/>
  <c r="D125" s="1"/>
  <c r="E35"/>
  <c r="E38" i="4" s="1"/>
  <c r="G33" i="3"/>
  <c r="L122"/>
  <c r="M37"/>
  <c r="M40" i="4" s="1"/>
  <c r="M120" i="3"/>
  <c r="M125" s="1"/>
  <c r="N35"/>
  <c r="N38" i="4" s="1"/>
  <c r="E120" i="3"/>
  <c r="E125" s="1"/>
  <c r="F35"/>
  <c r="F38" i="4" s="1"/>
  <c r="N76" i="3"/>
  <c r="N111" s="1"/>
  <c r="B111"/>
  <c r="H9"/>
  <c r="H8" i="4" s="1"/>
  <c r="G102" i="3"/>
  <c r="D25"/>
  <c r="D26" i="4" s="1"/>
  <c r="C114" i="3"/>
  <c r="D54" i="2"/>
  <c r="D57" s="1"/>
  <c r="E53"/>
  <c r="I70" i="3"/>
  <c r="J7"/>
  <c r="L25"/>
  <c r="L26" i="4" s="1"/>
  <c r="K114" i="3"/>
  <c r="H122"/>
  <c r="I37"/>
  <c r="I40" i="4" s="1"/>
  <c r="J104" i="3"/>
  <c r="K11"/>
  <c r="K10" i="4" s="1"/>
  <c r="N66" i="3"/>
  <c r="N104" s="1"/>
  <c r="B104"/>
  <c r="C11"/>
  <c r="I121"/>
  <c r="J36"/>
  <c r="J39" i="4" s="1"/>
  <c r="G23" i="3"/>
  <c r="G24" i="4" s="1"/>
  <c r="F112" i="3"/>
  <c r="F116" s="1"/>
  <c r="L10"/>
  <c r="L9" i="4" s="1"/>
  <c r="K103" i="3"/>
  <c r="D10"/>
  <c r="D9" i="4" s="1"/>
  <c r="C103" i="3"/>
  <c r="F104"/>
  <c r="G11"/>
  <c r="G10" i="4" s="1"/>
  <c r="H104" i="3"/>
  <c r="I11"/>
  <c r="I10" i="4" s="1"/>
  <c r="E13" i="3"/>
  <c r="E12" i="4" s="1"/>
  <c r="N39" i="2"/>
  <c r="J116" i="3" l="1"/>
  <c r="N26"/>
  <c r="N27" i="4" s="1"/>
  <c r="D82" i="3"/>
  <c r="H116"/>
  <c r="M82"/>
  <c r="O33"/>
  <c r="G125"/>
  <c r="J39"/>
  <c r="J42" i="4" s="1"/>
  <c r="G94" i="3"/>
  <c r="I116"/>
  <c r="I39"/>
  <c r="I42" i="4" s="1"/>
  <c r="L82" i="3"/>
  <c r="E116"/>
  <c r="K94"/>
  <c r="J107"/>
  <c r="C191" i="2"/>
  <c r="C192" s="1"/>
  <c r="C245"/>
  <c r="O36" i="4"/>
  <c r="Q6"/>
  <c r="D191" i="2"/>
  <c r="D245"/>
  <c r="F41" i="3"/>
  <c r="F47" i="4" s="1"/>
  <c r="F36"/>
  <c r="J28" i="3"/>
  <c r="J32" i="4" s="1"/>
  <c r="J21"/>
  <c r="K6"/>
  <c r="K17" s="1"/>
  <c r="K15" i="3"/>
  <c r="F15"/>
  <c r="F6" i="4"/>
  <c r="F17" s="1"/>
  <c r="D15" i="3"/>
  <c r="D6" i="4"/>
  <c r="D17" s="1"/>
  <c r="E107" i="3"/>
  <c r="G26"/>
  <c r="G27" i="4" s="1"/>
  <c r="C116" i="3"/>
  <c r="C26" i="4"/>
  <c r="O25" i="3"/>
  <c r="N70"/>
  <c r="O7"/>
  <c r="N35" i="2"/>
  <c r="O27"/>
  <c r="G107" i="3"/>
  <c r="D107"/>
  <c r="B125"/>
  <c r="I94"/>
  <c r="C10" i="4"/>
  <c r="O11" i="3"/>
  <c r="H240" i="2"/>
  <c r="H49" i="4"/>
  <c r="H190" i="2"/>
  <c r="O35" i="3"/>
  <c r="C38" i="4"/>
  <c r="N240" i="2"/>
  <c r="N190"/>
  <c r="B221"/>
  <c r="B222" s="1"/>
  <c r="B239"/>
  <c r="B15"/>
  <c r="B16" s="1"/>
  <c r="B223" s="1"/>
  <c r="B236" s="1"/>
  <c r="H49"/>
  <c r="G50"/>
  <c r="H107" i="3"/>
  <c r="O24"/>
  <c r="O22"/>
  <c r="I125"/>
  <c r="F82"/>
  <c r="K116"/>
  <c r="N41" i="2"/>
  <c r="P27"/>
  <c r="C6" i="4"/>
  <c r="C15" i="3"/>
  <c r="J49" i="4"/>
  <c r="J240" i="2"/>
  <c r="J190"/>
  <c r="H21" i="4"/>
  <c r="H28" i="3"/>
  <c r="H32" i="4" s="1"/>
  <c r="M69" i="2"/>
  <c r="N67"/>
  <c r="N69" s="1"/>
  <c r="N199" s="1"/>
  <c r="O21" i="3"/>
  <c r="C22" i="4"/>
  <c r="I28" i="3"/>
  <c r="I32" i="4" s="1"/>
  <c r="I21"/>
  <c r="L116" i="3"/>
  <c r="C11" i="4"/>
  <c r="O12" i="3"/>
  <c r="E231" i="2"/>
  <c r="D182"/>
  <c r="F230"/>
  <c r="O36" i="3"/>
  <c r="C39" i="4"/>
  <c r="C12"/>
  <c r="O13" i="3"/>
  <c r="C218" i="2"/>
  <c r="D214"/>
  <c r="J82" i="3"/>
  <c r="H125"/>
  <c r="G116"/>
  <c r="G39"/>
  <c r="G42" i="4" s="1"/>
  <c r="K26" i="3"/>
  <c r="K27" i="4" s="1"/>
  <c r="M26" i="3"/>
  <c r="M27" i="4" s="1"/>
  <c r="L94" i="3"/>
  <c r="C41"/>
  <c r="C47" i="4" s="1"/>
  <c r="N80" i="3"/>
  <c r="N115" s="1"/>
  <c r="N116" s="1"/>
  <c r="C16" i="4"/>
  <c r="O14" i="3"/>
  <c r="C43" i="4"/>
  <c r="O40" i="3"/>
  <c r="E54" i="2"/>
  <c r="E57" s="1"/>
  <c r="F53"/>
  <c r="D21" i="4"/>
  <c r="N102" i="3"/>
  <c r="O9"/>
  <c r="H15"/>
  <c r="H6" i="4"/>
  <c r="H17" s="1"/>
  <c r="C42"/>
  <c r="C27"/>
  <c r="G15" i="3"/>
  <c r="G6" i="4"/>
  <c r="G17" s="1"/>
  <c r="I41" i="3"/>
  <c r="I47" i="4" s="1"/>
  <c r="I36"/>
  <c r="M36"/>
  <c r="M41" i="3"/>
  <c r="M47" i="4" s="1"/>
  <c r="M15" i="3"/>
  <c r="M6" i="4"/>
  <c r="M17" s="1"/>
  <c r="O7"/>
  <c r="N125" i="3"/>
  <c r="K41"/>
  <c r="K47" i="4" s="1"/>
  <c r="H39" i="3"/>
  <c r="H42" i="4" s="1"/>
  <c r="N92" i="3"/>
  <c r="N124" s="1"/>
  <c r="E26"/>
  <c r="E27" i="4" s="1"/>
  <c r="E82" i="3"/>
  <c r="C28"/>
  <c r="C32" i="4" s="1"/>
  <c r="K107" i="3"/>
  <c r="N56" i="2"/>
  <c r="O37" i="3"/>
  <c r="D116"/>
  <c r="E36" i="4"/>
  <c r="E41" i="3"/>
  <c r="E47" i="4" s="1"/>
  <c r="N41" i="3"/>
  <c r="N47" i="4" s="1"/>
  <c r="N36"/>
  <c r="O23" i="3"/>
  <c r="C24" i="4"/>
  <c r="F49"/>
  <c r="F240" i="2"/>
  <c r="F190"/>
  <c r="N15" i="3"/>
  <c r="N6" i="4"/>
  <c r="N17" s="1"/>
  <c r="B49"/>
  <c r="B240" i="2"/>
  <c r="B244" s="1"/>
  <c r="B54"/>
  <c r="L15" i="3"/>
  <c r="L6" i="4"/>
  <c r="L17" s="1"/>
  <c r="M107" i="3"/>
  <c r="L26"/>
  <c r="L27" i="4" s="1"/>
  <c r="O20" i="3"/>
  <c r="F125"/>
  <c r="C250" i="2"/>
  <c r="C202"/>
  <c r="G41" i="3"/>
  <c r="G47" i="4" s="1"/>
  <c r="G36"/>
  <c r="H51" i="2"/>
  <c r="J15" i="3"/>
  <c r="J6" i="4"/>
  <c r="J17" s="1"/>
  <c r="L21"/>
  <c r="C41"/>
  <c r="O38" i="3"/>
  <c r="I15"/>
  <c r="I6" i="4"/>
  <c r="I17" s="1"/>
  <c r="E15" i="3"/>
  <c r="E6" i="4"/>
  <c r="E17" s="1"/>
  <c r="O10" i="3"/>
  <c r="N103"/>
  <c r="B57" i="2"/>
  <c r="C28" i="4"/>
  <c r="O27" i="3"/>
  <c r="C37" i="4"/>
  <c r="O34" i="3"/>
  <c r="B107"/>
  <c r="B116"/>
  <c r="F94"/>
  <c r="L41"/>
  <c r="L47" i="4" s="1"/>
  <c r="F107" i="3"/>
  <c r="M116"/>
  <c r="M94"/>
  <c r="L125"/>
  <c r="L107"/>
  <c r="J125"/>
  <c r="D26"/>
  <c r="D27" i="4" s="1"/>
  <c r="F26" i="3"/>
  <c r="F27" i="4" s="1"/>
  <c r="D41" i="3"/>
  <c r="D47" i="4" s="1"/>
  <c r="C107" i="3"/>
  <c r="I107"/>
  <c r="N28" l="1"/>
  <c r="N32" i="4" s="1"/>
  <c r="K28" i="3"/>
  <c r="K32" i="4" s="1"/>
  <c r="N82" i="3"/>
  <c r="J41"/>
  <c r="J47" i="4" s="1"/>
  <c r="N94" i="3"/>
  <c r="E191" i="2"/>
  <c r="E245"/>
  <c r="H52"/>
  <c r="I51"/>
  <c r="D218"/>
  <c r="E214"/>
  <c r="H50"/>
  <c r="I49"/>
  <c r="M28" i="3"/>
  <c r="M32" i="4" s="1"/>
  <c r="O9"/>
  <c r="O21"/>
  <c r="P6"/>
  <c r="D250" i="2"/>
  <c r="D253" s="1"/>
  <c r="D202"/>
  <c r="O38" i="4"/>
  <c r="Q8"/>
  <c r="O15" i="3"/>
  <c r="B8" s="1"/>
  <c r="B7" i="4" s="1"/>
  <c r="O6"/>
  <c r="C253" i="2"/>
  <c r="G230"/>
  <c r="F231"/>
  <c r="E182"/>
  <c r="L28" i="3"/>
  <c r="L32" i="4" s="1"/>
  <c r="H41" i="3"/>
  <c r="H47" i="4" s="1"/>
  <c r="G28" i="3"/>
  <c r="G32" i="4" s="1"/>
  <c r="O39"/>
  <c r="Q9"/>
  <c r="O56" i="2"/>
  <c r="O29"/>
  <c r="O50"/>
  <c r="O39" i="3"/>
  <c r="O41" s="1"/>
  <c r="D28"/>
  <c r="D32" i="4" s="1"/>
  <c r="F28" i="3"/>
  <c r="F32" i="4" s="1"/>
  <c r="M199" i="2"/>
  <c r="N216"/>
  <c r="O216" s="1"/>
  <c r="P216" s="1"/>
  <c r="P50"/>
  <c r="P56"/>
  <c r="P29"/>
  <c r="N107" i="3"/>
  <c r="G53" i="2"/>
  <c r="F54"/>
  <c r="F57" s="1"/>
  <c r="B245"/>
  <c r="B253" s="1"/>
  <c r="B254" s="1"/>
  <c r="B191"/>
  <c r="O24" i="4"/>
  <c r="P9"/>
  <c r="O28"/>
  <c r="P13"/>
  <c r="O8"/>
  <c r="O16"/>
  <c r="P10"/>
  <c r="O25"/>
  <c r="O10"/>
  <c r="P11"/>
  <c r="O26"/>
  <c r="O26" i="3"/>
  <c r="O28" s="1"/>
  <c r="C17" i="4"/>
  <c r="Q11"/>
  <c r="O41"/>
  <c r="O40"/>
  <c r="Q10"/>
  <c r="B13" i="3"/>
  <c r="B12" i="4" s="1"/>
  <c r="O12"/>
  <c r="O22"/>
  <c r="P7"/>
  <c r="O23"/>
  <c r="P8"/>
  <c r="N239" i="2"/>
  <c r="E28" i="3"/>
  <c r="E32" i="4" s="1"/>
  <c r="C198" i="2"/>
  <c r="C200" s="1"/>
  <c r="O37" i="4"/>
  <c r="Q7"/>
  <c r="O43"/>
  <c r="Q13"/>
  <c r="O11"/>
  <c r="D198" i="2"/>
  <c r="D200" s="1"/>
  <c r="D192"/>
  <c r="G52"/>
  <c r="B12" i="3" l="1"/>
  <c r="B11" i="4" s="1"/>
  <c r="O32"/>
  <c r="B21" i="3"/>
  <c r="B22" i="4" s="1"/>
  <c r="B22" i="3"/>
  <c r="B23" i="4" s="1"/>
  <c r="B20" i="3"/>
  <c r="B25"/>
  <c r="B26" i="4" s="1"/>
  <c r="B23" i="3"/>
  <c r="B24" i="4" s="1"/>
  <c r="B27" i="3"/>
  <c r="B28" i="4" s="1"/>
  <c r="B24" i="3"/>
  <c r="B25" i="4" s="1"/>
  <c r="O47"/>
  <c r="B33" i="3"/>
  <c r="B40"/>
  <c r="B43" i="4" s="1"/>
  <c r="B38" i="3"/>
  <c r="B41" i="4" s="1"/>
  <c r="B36" i="3"/>
  <c r="B39" i="4" s="1"/>
  <c r="B34" i="3"/>
  <c r="B37" i="4" s="1"/>
  <c r="B35" i="3"/>
  <c r="B38" i="4" s="1"/>
  <c r="B37" i="3"/>
  <c r="B40" i="4" s="1"/>
  <c r="Q17"/>
  <c r="H230" i="2"/>
  <c r="G231"/>
  <c r="F182"/>
  <c r="E253"/>
  <c r="H53"/>
  <c r="G54"/>
  <c r="E250"/>
  <c r="E202"/>
  <c r="I50"/>
  <c r="J49"/>
  <c r="P52"/>
  <c r="P57" s="1"/>
  <c r="O190"/>
  <c r="O54"/>
  <c r="O240"/>
  <c r="O27" i="4"/>
  <c r="P12"/>
  <c r="P17" s="1"/>
  <c r="B26" i="3"/>
  <c r="B27" i="4" s="1"/>
  <c r="O57" i="2"/>
  <c r="O52"/>
  <c r="J51"/>
  <c r="O17" i="4"/>
  <c r="P240" i="2"/>
  <c r="P190"/>
  <c r="P54"/>
  <c r="B9" i="3"/>
  <c r="B8" i="4" s="1"/>
  <c r="B7" i="3"/>
  <c r="E192" i="2"/>
  <c r="E198"/>
  <c r="E200" s="1"/>
  <c r="C221"/>
  <c r="C222" s="1"/>
  <c r="C223" s="1"/>
  <c r="C239"/>
  <c r="C232"/>
  <c r="C234" s="1"/>
  <c r="E218"/>
  <c r="F214"/>
  <c r="F245"/>
  <c r="F191"/>
  <c r="B198"/>
  <c r="B200" s="1"/>
  <c r="B203" s="1"/>
  <c r="B208" s="1"/>
  <c r="B210" s="1"/>
  <c r="B192"/>
  <c r="B39" i="3"/>
  <c r="B42" i="4" s="1"/>
  <c r="O42"/>
  <c r="Q12"/>
  <c r="B11" i="3"/>
  <c r="B10" i="4" s="1"/>
  <c r="G57" i="2"/>
  <c r="B10" i="3"/>
  <c r="B9" i="4" s="1"/>
  <c r="B14" i="3"/>
  <c r="B16" i="4" s="1"/>
  <c r="P245" i="2" l="1"/>
  <c r="P191"/>
  <c r="P192" s="1"/>
  <c r="U57"/>
  <c r="H231"/>
  <c r="I230"/>
  <c r="G182"/>
  <c r="F253"/>
  <c r="B28" i="3"/>
  <c r="B21" i="4"/>
  <c r="O245" i="2"/>
  <c r="O191"/>
  <c r="O192" s="1"/>
  <c r="T57"/>
  <c r="I53"/>
  <c r="H54"/>
  <c r="H57" s="1"/>
  <c r="B41" i="3"/>
  <c r="B36" i="4"/>
  <c r="F192" i="2"/>
  <c r="F198"/>
  <c r="F200" s="1"/>
  <c r="C226"/>
  <c r="C227" s="1"/>
  <c r="D225"/>
  <c r="F250"/>
  <c r="F202"/>
  <c r="C174"/>
  <c r="K49"/>
  <c r="J50"/>
  <c r="G245"/>
  <c r="G191"/>
  <c r="K51"/>
  <c r="G214"/>
  <c r="F218"/>
  <c r="B15" i="3"/>
  <c r="B6" i="4"/>
  <c r="B17" s="1"/>
  <c r="I52" i="2"/>
  <c r="P198" l="1"/>
  <c r="P200" s="1"/>
  <c r="G198"/>
  <c r="G200" s="1"/>
  <c r="G192"/>
  <c r="L51"/>
  <c r="C235"/>
  <c r="C236" s="1"/>
  <c r="G202"/>
  <c r="G250"/>
  <c r="C201"/>
  <c r="C203" s="1"/>
  <c r="C208" s="1"/>
  <c r="C210" s="1"/>
  <c r="D226" s="1"/>
  <c r="D227" s="1"/>
  <c r="C242"/>
  <c r="C244" s="1"/>
  <c r="C254" s="1"/>
  <c r="J230"/>
  <c r="I231"/>
  <c r="H182"/>
  <c r="J52"/>
  <c r="G218"/>
  <c r="H214"/>
  <c r="J53"/>
  <c r="I54"/>
  <c r="I57" s="1"/>
  <c r="H245"/>
  <c r="H191"/>
  <c r="K50"/>
  <c r="L49"/>
  <c r="G253"/>
  <c r="O198"/>
  <c r="O200" s="1"/>
  <c r="E225" l="1"/>
  <c r="I245"/>
  <c r="I191"/>
  <c r="I214"/>
  <c r="H218"/>
  <c r="J54"/>
  <c r="J57" s="1"/>
  <c r="K53"/>
  <c r="H250"/>
  <c r="H253" s="1"/>
  <c r="H202"/>
  <c r="H192"/>
  <c r="H198"/>
  <c r="H200" s="1"/>
  <c r="M49"/>
  <c r="L50"/>
  <c r="D232"/>
  <c r="D234" s="1"/>
  <c r="D235" s="1"/>
  <c r="D236" s="1"/>
  <c r="D221"/>
  <c r="D222" s="1"/>
  <c r="D223" s="1"/>
  <c r="D239"/>
  <c r="J231"/>
  <c r="K230"/>
  <c r="I182"/>
  <c r="M51"/>
  <c r="L52"/>
  <c r="K52"/>
  <c r="I253" l="1"/>
  <c r="K54"/>
  <c r="K57" s="1"/>
  <c r="L53"/>
  <c r="K231"/>
  <c r="L230"/>
  <c r="J182"/>
  <c r="I198"/>
  <c r="I200" s="1"/>
  <c r="I192"/>
  <c r="D174"/>
  <c r="J214"/>
  <c r="I218"/>
  <c r="I250"/>
  <c r="I202"/>
  <c r="M52"/>
  <c r="N52" s="1"/>
  <c r="N51"/>
  <c r="M50"/>
  <c r="N49"/>
  <c r="J245"/>
  <c r="J191"/>
  <c r="K245" l="1"/>
  <c r="K191"/>
  <c r="L54"/>
  <c r="L57" s="1"/>
  <c r="M53"/>
  <c r="J198"/>
  <c r="J200" s="1"/>
  <c r="J192"/>
  <c r="D242"/>
  <c r="D244" s="1"/>
  <c r="D254" s="1"/>
  <c r="D201"/>
  <c r="D203" s="1"/>
  <c r="D208" s="1"/>
  <c r="D210" s="1"/>
  <c r="K214"/>
  <c r="J218"/>
  <c r="L231"/>
  <c r="M230"/>
  <c r="K182"/>
  <c r="J250"/>
  <c r="J253" s="1"/>
  <c r="J202"/>
  <c r="N50"/>
  <c r="E232" l="1"/>
  <c r="E234" s="1"/>
  <c r="E221"/>
  <c r="E222" s="1"/>
  <c r="E223" s="1"/>
  <c r="E239"/>
  <c r="K250"/>
  <c r="K202"/>
  <c r="K198"/>
  <c r="K200" s="1"/>
  <c r="K192"/>
  <c r="E226"/>
  <c r="E227" s="1"/>
  <c r="F225"/>
  <c r="L245"/>
  <c r="L191"/>
  <c r="K218"/>
  <c r="L214"/>
  <c r="M54"/>
  <c r="N53"/>
  <c r="M231"/>
  <c r="N230"/>
  <c r="L182"/>
  <c r="K253"/>
  <c r="L250" l="1"/>
  <c r="L202"/>
  <c r="E174"/>
  <c r="O230"/>
  <c r="M182"/>
  <c r="L198"/>
  <c r="L200" s="1"/>
  <c r="L192"/>
  <c r="L218"/>
  <c r="M214"/>
  <c r="N54"/>
  <c r="M57"/>
  <c r="E235"/>
  <c r="E236" s="1"/>
  <c r="L253"/>
  <c r="M218" l="1"/>
  <c r="N214"/>
  <c r="E201"/>
  <c r="E203" s="1"/>
  <c r="E208" s="1"/>
  <c r="E210" s="1"/>
  <c r="E242"/>
  <c r="E244" s="1"/>
  <c r="E254" s="1"/>
  <c r="M245"/>
  <c r="M191"/>
  <c r="N57"/>
  <c r="O182"/>
  <c r="P230"/>
  <c r="P182" s="1"/>
  <c r="M250"/>
  <c r="M202"/>
  <c r="N182"/>
  <c r="O214" l="1"/>
  <c r="N218"/>
  <c r="N245"/>
  <c r="N253" s="1"/>
  <c r="N191"/>
  <c r="S57"/>
  <c r="O202"/>
  <c r="O250"/>
  <c r="P250"/>
  <c r="P202"/>
  <c r="F226"/>
  <c r="F227" s="1"/>
  <c r="G225"/>
  <c r="F232"/>
  <c r="F234" s="1"/>
  <c r="F221"/>
  <c r="F222" s="1"/>
  <c r="F223" s="1"/>
  <c r="F239"/>
  <c r="N250"/>
  <c r="N202"/>
  <c r="M192"/>
  <c r="M198"/>
  <c r="M200" s="1"/>
  <c r="M253"/>
  <c r="O218" l="1"/>
  <c r="P214"/>
  <c r="P218" s="1"/>
  <c r="F235"/>
  <c r="F236" s="1"/>
  <c r="N198"/>
  <c r="N200" s="1"/>
  <c r="N192"/>
  <c r="F174"/>
  <c r="F201" l="1"/>
  <c r="F203" s="1"/>
  <c r="F208" s="1"/>
  <c r="F210" s="1"/>
  <c r="F242"/>
  <c r="F244" s="1"/>
  <c r="F254" s="1"/>
  <c r="G226" l="1"/>
  <c r="G227" s="1"/>
  <c r="H225"/>
  <c r="G239"/>
  <c r="G221"/>
  <c r="G222" s="1"/>
  <c r="G223" s="1"/>
  <c r="G232"/>
  <c r="G234" s="1"/>
  <c r="G235" l="1"/>
  <c r="G236" s="1"/>
  <c r="G174"/>
  <c r="G242" l="1"/>
  <c r="G244" s="1"/>
  <c r="G254" s="1"/>
  <c r="G201"/>
  <c r="G203" s="1"/>
  <c r="G208" s="1"/>
  <c r="G210" s="1"/>
  <c r="H226" l="1"/>
  <c r="H227" s="1"/>
  <c r="I225"/>
  <c r="H221"/>
  <c r="H222" s="1"/>
  <c r="H223" s="1"/>
  <c r="H239"/>
  <c r="H232"/>
  <c r="H234" s="1"/>
  <c r="H235" l="1"/>
  <c r="H236" s="1"/>
  <c r="H174"/>
  <c r="H201" l="1"/>
  <c r="H203" s="1"/>
  <c r="H208" s="1"/>
  <c r="H210" s="1"/>
  <c r="H242"/>
  <c r="H244" s="1"/>
  <c r="H254" s="1"/>
  <c r="I226" l="1"/>
  <c r="I227" s="1"/>
  <c r="J225"/>
  <c r="I239"/>
  <c r="I221"/>
  <c r="I222" s="1"/>
  <c r="I223" s="1"/>
  <c r="I232"/>
  <c r="I234" s="1"/>
  <c r="I235" l="1"/>
  <c r="I236" s="1"/>
  <c r="I174"/>
  <c r="I201" l="1"/>
  <c r="I203" s="1"/>
  <c r="I208" s="1"/>
  <c r="I210" s="1"/>
  <c r="I242"/>
  <c r="I244" s="1"/>
  <c r="I254" s="1"/>
  <c r="J226" l="1"/>
  <c r="J227" s="1"/>
  <c r="K225"/>
  <c r="J232"/>
  <c r="J234" s="1"/>
  <c r="J221"/>
  <c r="J222" s="1"/>
  <c r="J223" s="1"/>
  <c r="J239"/>
  <c r="J235" l="1"/>
  <c r="J236" s="1"/>
  <c r="J174"/>
  <c r="J201" l="1"/>
  <c r="J203" s="1"/>
  <c r="J208" s="1"/>
  <c r="J210" s="1"/>
  <c r="J242"/>
  <c r="J244" s="1"/>
  <c r="J254" s="1"/>
  <c r="K226" l="1"/>
  <c r="K227" s="1"/>
  <c r="L225"/>
  <c r="K221"/>
  <c r="K222" s="1"/>
  <c r="K223" s="1"/>
  <c r="K239"/>
  <c r="K232"/>
  <c r="K234" s="1"/>
  <c r="K235" l="1"/>
  <c r="K236" s="1"/>
  <c r="K174"/>
  <c r="K242" l="1"/>
  <c r="K244" s="1"/>
  <c r="K254" s="1"/>
  <c r="K201"/>
  <c r="K203" s="1"/>
  <c r="K208" s="1"/>
  <c r="K210" s="1"/>
  <c r="L232" l="1"/>
  <c r="L234" s="1"/>
  <c r="L221"/>
  <c r="L222" s="1"/>
  <c r="L223" s="1"/>
  <c r="L239"/>
  <c r="L226"/>
  <c r="L227" s="1"/>
  <c r="M225"/>
  <c r="L174" l="1"/>
  <c r="L235"/>
  <c r="L236" s="1"/>
  <c r="L242" l="1"/>
  <c r="L244" s="1"/>
  <c r="L254" s="1"/>
  <c r="L201"/>
  <c r="L203" s="1"/>
  <c r="L208" s="1"/>
  <c r="L210" s="1"/>
  <c r="M232" l="1"/>
  <c r="M234" s="1"/>
  <c r="M221"/>
  <c r="M222" s="1"/>
  <c r="M223" s="1"/>
  <c r="M239"/>
  <c r="M226"/>
  <c r="M227" s="1"/>
  <c r="N225"/>
  <c r="M174" l="1"/>
  <c r="M235"/>
  <c r="M236" s="1"/>
  <c r="M242" l="1"/>
  <c r="M244" s="1"/>
  <c r="M254" s="1"/>
  <c r="M201"/>
  <c r="M203" s="1"/>
  <c r="N174"/>
  <c r="N232" l="1"/>
  <c r="N234" s="1"/>
  <c r="N221"/>
  <c r="N222" s="1"/>
  <c r="N223" s="1"/>
  <c r="N201"/>
  <c r="N203" s="1"/>
  <c r="N242"/>
  <c r="N244" s="1"/>
  <c r="N254" s="1"/>
  <c r="O239" s="1"/>
  <c r="M204" l="1"/>
  <c r="Q203"/>
  <c r="M205"/>
  <c r="S29"/>
  <c r="B52" i="4" s="1"/>
  <c r="M207" i="2" l="1"/>
  <c r="N204"/>
  <c r="N205"/>
  <c r="N206" s="1"/>
  <c r="M206"/>
  <c r="N207" l="1"/>
  <c r="M208"/>
  <c r="M210" s="1"/>
  <c r="O251" l="1"/>
  <c r="N228"/>
  <c r="N231" s="1"/>
  <c r="N208"/>
  <c r="N226"/>
  <c r="N227" s="1"/>
  <c r="O225"/>
  <c r="O253" l="1"/>
  <c r="O174"/>
  <c r="N210"/>
  <c r="B260" s="1"/>
  <c r="B258"/>
  <c r="B261"/>
  <c r="B262" s="1"/>
  <c r="B259"/>
  <c r="N235"/>
  <c r="N236" s="1"/>
  <c r="O242" l="1"/>
  <c r="O244" s="1"/>
  <c r="O254" s="1"/>
  <c r="O201"/>
  <c r="O203" s="1"/>
  <c r="P239" l="1"/>
  <c r="O232"/>
  <c r="O234" s="1"/>
  <c r="O221"/>
  <c r="O222" s="1"/>
  <c r="O223" s="1"/>
  <c r="T29"/>
  <c r="C52" i="4" s="1"/>
  <c r="O204" i="2"/>
  <c r="O205"/>
  <c r="O206" s="1"/>
  <c r="R203" l="1"/>
  <c r="O207"/>
  <c r="P251" l="1"/>
  <c r="O228"/>
  <c r="O231" s="1"/>
  <c r="O208"/>
  <c r="P253" l="1"/>
  <c r="P174"/>
  <c r="C258"/>
  <c r="O210"/>
  <c r="P201" l="1"/>
  <c r="P203" s="1"/>
  <c r="P242"/>
  <c r="P244" s="1"/>
  <c r="P254" s="1"/>
  <c r="O226"/>
  <c r="O227" s="1"/>
  <c r="P225"/>
  <c r="P205" l="1"/>
  <c r="P206" s="1"/>
  <c r="U29"/>
  <c r="D52" i="4" s="1"/>
  <c r="P204" i="2"/>
  <c r="P221"/>
  <c r="P222" s="1"/>
  <c r="P223" s="1"/>
  <c r="P232"/>
  <c r="P234" s="1"/>
  <c r="C259"/>
  <c r="O235"/>
  <c r="O236" l="1"/>
  <c r="C260"/>
  <c r="P207"/>
  <c r="C261"/>
  <c r="C262" s="1"/>
  <c r="P228" l="1"/>
  <c r="P231" s="1"/>
  <c r="P208"/>
  <c r="D258" l="1"/>
  <c r="P210"/>
  <c r="P226" l="1"/>
  <c r="P227" s="1"/>
  <c r="D261" l="1"/>
  <c r="D262" s="1"/>
  <c r="D259"/>
  <c r="P235"/>
  <c r="P236" l="1"/>
  <c r="D260"/>
</calcChain>
</file>

<file path=xl/sharedStrings.xml><?xml version="1.0" encoding="utf-8"?>
<sst xmlns="http://schemas.openxmlformats.org/spreadsheetml/2006/main" count="899" uniqueCount="303">
  <si>
    <t xml:space="preserve">Investments  </t>
  </si>
  <si>
    <t>Establishment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</si>
  <si>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</si>
  <si>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</si>
  <si>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</si>
  <si>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</si>
  <si>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</si>
  <si>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</si>
  <si>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</si>
  <si>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</si>
  <si>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</si>
  <si>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</si>
  <si>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</si>
  <si>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</si>
  <si>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</t>
  </si>
  <si>
    <t>Year 2</t>
  </si>
  <si>
    <t>Year 3</t>
  </si>
  <si>
    <t>Drying Machine</t>
  </si>
  <si>
    <t>Washing Machine</t>
  </si>
  <si>
    <t>Yoga Shala</t>
  </si>
  <si>
    <t>Tools</t>
  </si>
  <si>
    <t>Video Projector</t>
  </si>
  <si>
    <t>Commerical Kitchen</t>
  </si>
  <si>
    <t>Coworking space</t>
  </si>
  <si>
    <t>Swimming perimeter marker</t>
  </si>
  <si>
    <t>Printer</t>
  </si>
  <si>
    <t>Tents</t>
  </si>
  <si>
    <t>Solar Golf Cart</t>
  </si>
  <si>
    <t>Umsatzplan</t>
  </si>
  <si>
    <t xml:space="preserve">Umsätze Servicegeschäft </t>
  </si>
  <si>
    <t>Rainwater storage tanks</t>
  </si>
  <si>
    <t>1. GJ</t>
  </si>
  <si>
    <t>Investments Buildings</t>
  </si>
  <si>
    <t>Establish-ment</t>
  </si>
  <si>
    <t>Sanctuary House (Remaining)</t>
  </si>
  <si>
    <t>Anteil</t>
  </si>
  <si>
    <t>Parameters</t>
  </si>
  <si>
    <t>Corporate tax rate</t>
  </si>
  <si>
    <t>Temple House</t>
  </si>
  <si>
    <t>1. Monat</t>
  </si>
  <si>
    <t>Domingo’s House Land</t>
  </si>
  <si>
    <t>Business tax multiplier</t>
  </si>
  <si>
    <t>Banana Tree Land Strip</t>
  </si>
  <si>
    <t>Interest rate for interest earnings</t>
  </si>
  <si>
    <t>2. Monat</t>
  </si>
  <si>
    <t>3. Monat</t>
  </si>
  <si>
    <t>4. Monat</t>
  </si>
  <si>
    <t>5. Monat</t>
  </si>
  <si>
    <t>Interest rate for interest spending</t>
  </si>
  <si>
    <t>6. Monat</t>
  </si>
  <si>
    <t>7. Monat</t>
  </si>
  <si>
    <t>8. Monat</t>
  </si>
  <si>
    <t>9. Monat</t>
  </si>
  <si>
    <t>10. Monat</t>
  </si>
  <si>
    <t>11. Monat</t>
  </si>
  <si>
    <t>Land To The Right Of Banana Tree Land Strip</t>
  </si>
  <si>
    <t>12. Monat</t>
  </si>
  <si>
    <t>Gesamt</t>
  </si>
  <si>
    <t>Opening balance</t>
  </si>
  <si>
    <t>Additional Land (unknown plot A)</t>
  </si>
  <si>
    <t>Additional Land (unknown plot B)</t>
  </si>
  <si>
    <t>Red Villa</t>
  </si>
  <si>
    <t>Land On Top Of Terraced Farmland (Nice To Have But Not Needed)</t>
  </si>
  <si>
    <t>New investments</t>
  </si>
  <si>
    <t>Dock, Yogashala Construction</t>
  </si>
  <si>
    <t>Premium-Menüs</t>
  </si>
  <si>
    <t>Misc. Cost of land purchases</t>
  </si>
  <si>
    <t>Sunk Investments</t>
  </si>
  <si>
    <t>Fixed assets</t>
  </si>
  <si>
    <t>Claims</t>
  </si>
  <si>
    <t>Cash resources (bank account)</t>
  </si>
  <si>
    <t>Current assets</t>
  </si>
  <si>
    <t>Premium-Getränke</t>
  </si>
  <si>
    <t>Aktiva</t>
  </si>
  <si>
    <t>6 Tage Schnuppertherapie</t>
  </si>
  <si>
    <t>Authorized capital</t>
  </si>
  <si>
    <t>new</t>
  </si>
  <si>
    <t>Additional equity capital</t>
  </si>
  <si>
    <t>Equity to be raised</t>
  </si>
  <si>
    <t>Equity capital</t>
  </si>
  <si>
    <t>6 Tage Intensivtherapie</t>
  </si>
  <si>
    <t>Long term loans</t>
  </si>
  <si>
    <t>Total liabilities</t>
  </si>
  <si>
    <t>13 Tage Intensivtherapie</t>
  </si>
  <si>
    <t>Expected sales</t>
  </si>
  <si>
    <t>1. Year</t>
  </si>
  <si>
    <t>27 Tage Intensivtherapie</t>
  </si>
  <si>
    <t>2. Year</t>
  </si>
  <si>
    <t>Verlängerungstage</t>
  </si>
  <si>
    <t>3. Year</t>
  </si>
  <si>
    <t>Revenues</t>
  </si>
  <si>
    <t>Sonstige Dienstleistungen</t>
  </si>
  <si>
    <t>Erträge aus Handelsprovisionen</t>
  </si>
  <si>
    <t>Total sales</t>
  </si>
  <si>
    <t>Summe Umsatz</t>
  </si>
  <si>
    <t>2. GJ</t>
  </si>
  <si>
    <t>GHOST</t>
  </si>
  <si>
    <t>GST CTRL</t>
  </si>
  <si>
    <t>Direct costs</t>
  </si>
  <si>
    <t>Cost of sales in % of sales</t>
  </si>
  <si>
    <t>Cost of energy, amenities, guardiano</t>
  </si>
  <si>
    <t>Transportation costs in %</t>
  </si>
  <si>
    <t>Transportation costs</t>
  </si>
  <si>
    <t>Storage costs (warehouse) %</t>
  </si>
  <si>
    <t>Storage costs (warehouse)</t>
  </si>
  <si>
    <t>Expendable items/discounts in %</t>
  </si>
  <si>
    <t>3. GJ</t>
  </si>
  <si>
    <t>Expendable items/discounts</t>
  </si>
  <si>
    <t>Direct cost of sales</t>
  </si>
  <si>
    <t>Gst. Kost</t>
  </si>
  <si>
    <t>Investments</t>
  </si>
  <si>
    <t xml:space="preserve">Investments </t>
  </si>
  <si>
    <t>Investments (buildings)</t>
  </si>
  <si>
    <t>Total</t>
  </si>
  <si>
    <t>Depreciation</t>
  </si>
  <si>
    <t xml:space="preserve">Depreciation of investments </t>
  </si>
  <si>
    <t>Preistabelle</t>
  </si>
  <si>
    <t>Mengen-einheit</t>
  </si>
  <si>
    <t>Depreciation of investments (buildings)</t>
  </si>
  <si>
    <t>Durchschnitts-verkaufspreis</t>
  </si>
  <si>
    <t>Anteil 1. GJ</t>
  </si>
  <si>
    <t>Anteil 2. GJ</t>
  </si>
  <si>
    <t>Menü</t>
  </si>
  <si>
    <t>Contingency Fund</t>
  </si>
  <si>
    <t>Getränk</t>
  </si>
  <si>
    <t>Paket</t>
  </si>
  <si>
    <t>Personnel costs</t>
  </si>
  <si>
    <t>Social Insurance</t>
  </si>
  <si>
    <t>Guardian</t>
  </si>
  <si>
    <t>Special payment</t>
  </si>
  <si>
    <t>Tage</t>
  </si>
  <si>
    <t>Groundkeeper</t>
  </si>
  <si>
    <t>Stunde</t>
  </si>
  <si>
    <t>Construction team</t>
  </si>
  <si>
    <t>Maintenance &amp; Transport team</t>
  </si>
  <si>
    <t>Absatzmengen (nach Einheit)</t>
  </si>
  <si>
    <t>Dyer / R&amp;D Manager</t>
  </si>
  <si>
    <t>EMPTY</t>
  </si>
  <si>
    <t>Social Insurance costs employer</t>
  </si>
  <si>
    <t>Total personnel costs</t>
  </si>
  <si>
    <t>1. Month</t>
  </si>
  <si>
    <t>2. Month</t>
  </si>
  <si>
    <t>3. Month</t>
  </si>
  <si>
    <t>4. Month</t>
  </si>
  <si>
    <t>5. Month</t>
  </si>
  <si>
    <t>6. Month</t>
  </si>
  <si>
    <t>7. Month</t>
  </si>
  <si>
    <t>8. Month</t>
  </si>
  <si>
    <t>9. Month</t>
  </si>
  <si>
    <t>10. Month</t>
  </si>
  <si>
    <t>11. Month</t>
  </si>
  <si>
    <t>12. Month</t>
  </si>
  <si>
    <t>Summe abgesetzter Mengeneinheit</t>
  </si>
  <si>
    <t>Marketing/Sales (Vollzeit)</t>
  </si>
  <si>
    <t>Sonderzahlungen</t>
  </si>
  <si>
    <t>Programmierer/in (Vollzeit)</t>
  </si>
  <si>
    <t>Kundenbetreuung (Vollzeit)</t>
  </si>
  <si>
    <t>Rent/Lease/Maintenance/Facility costs</t>
  </si>
  <si>
    <t>Sanctuary</t>
  </si>
  <si>
    <t>Temple</t>
  </si>
  <si>
    <t>Bettenbelegung</t>
  </si>
  <si>
    <t>Kapazität: 2700 Übernachtungen / Monat</t>
  </si>
  <si>
    <t>EMPTS</t>
  </si>
  <si>
    <t>Utilities</t>
  </si>
  <si>
    <t>Marketing expenses</t>
  </si>
  <si>
    <t>Internet advertising</t>
  </si>
  <si>
    <t>Catalogue and Brochure print</t>
  </si>
  <si>
    <t>Fairs and Promotion events</t>
  </si>
  <si>
    <t>Magazine advertisement</t>
  </si>
  <si>
    <t>Promotional gifts</t>
  </si>
  <si>
    <t>Infoabende</t>
  </si>
  <si>
    <t>Sponsoring</t>
  </si>
  <si>
    <t>Veranstaltungen</t>
  </si>
  <si>
    <t>Web page</t>
  </si>
  <si>
    <t>Other costs</t>
  </si>
  <si>
    <t>Telephone, DSL</t>
  </si>
  <si>
    <t>General supplies</t>
  </si>
  <si>
    <t>Accounting</t>
  </si>
  <si>
    <t>Insurance</t>
  </si>
  <si>
    <t>Tax / legal advisor</t>
  </si>
  <si>
    <t>Cleaning</t>
  </si>
  <si>
    <t>Bank fees / Hosting</t>
  </si>
  <si>
    <t>Total other costs</t>
  </si>
  <si>
    <t>Travel costs</t>
  </si>
  <si>
    <t>Reisekosten (Firmenwagen)</t>
  </si>
  <si>
    <t>Interest earnings</t>
  </si>
  <si>
    <t>Finanzplan lizenziert von BrainHive, Joachim Görbert, Frankfurt am Main 2016</t>
  </si>
  <si>
    <t>Keine Weiterverbreitung / Wiederverkauf</t>
  </si>
  <si>
    <t>Long-term shareholder's loan</t>
  </si>
  <si>
    <t>Pay back of long-term shareholder's loan</t>
  </si>
  <si>
    <t>Long-term bank loan</t>
  </si>
  <si>
    <t>Pay back of long-term bank loan</t>
  </si>
  <si>
    <t>Interest spending for long-term loans</t>
  </si>
  <si>
    <t>Financial planning</t>
  </si>
  <si>
    <t>Payout of dividends</t>
  </si>
  <si>
    <t>Income and loss statement</t>
  </si>
  <si>
    <t>Sales volume</t>
  </si>
  <si>
    <t>Gross earning</t>
  </si>
  <si>
    <t>Rent</t>
  </si>
  <si>
    <t>Marketing</t>
  </si>
  <si>
    <t>EBITDA (Earnings before interest, taxes, depreciation a. amortisation)</t>
  </si>
  <si>
    <t xml:space="preserve">EBIT (Earnings before interest and taxes): Operating income </t>
  </si>
  <si>
    <t>Interest spending</t>
  </si>
  <si>
    <t>EBT (Earnings before taxes)</t>
  </si>
  <si>
    <t>Business tax</t>
  </si>
  <si>
    <t>Corporate tax</t>
  </si>
  <si>
    <t>Solidarity tax contribution</t>
  </si>
  <si>
    <t>Total income tax</t>
  </si>
  <si>
    <t>Net income: Annual surplus/ annual deficit</t>
  </si>
  <si>
    <t>Balance sheet profit/loss, net result</t>
  </si>
  <si>
    <t>Balance sheet</t>
  </si>
  <si>
    <t>Starting Balance</t>
  </si>
  <si>
    <t>Accumulated investments</t>
  </si>
  <si>
    <t>Land Ownership</t>
  </si>
  <si>
    <t>Accumulated depreciation</t>
  </si>
  <si>
    <t>Forderung an Gesellschafter</t>
  </si>
  <si>
    <t>Accumulated deposits/contingency fund</t>
  </si>
  <si>
    <t>Stock of inventory</t>
  </si>
  <si>
    <t>Cash resources</t>
  </si>
  <si>
    <t>Total assets</t>
  </si>
  <si>
    <t>Profit/loss carried forward</t>
  </si>
  <si>
    <t>Balance sheet profit/loss</t>
  </si>
  <si>
    <t>Provisions for taxation</t>
  </si>
  <si>
    <t>Other provisions</t>
  </si>
  <si>
    <t xml:space="preserve">Long term debt capital </t>
  </si>
  <si>
    <t>Short term debt capital (bank)</t>
  </si>
  <si>
    <t>Liability vendor</t>
  </si>
  <si>
    <t xml:space="preserve">Umsätze Handelsgeschäft </t>
  </si>
  <si>
    <t>Short term debt capital</t>
  </si>
  <si>
    <t>Dämmstoffe</t>
  </si>
  <si>
    <t>Dichtstoffe</t>
  </si>
  <si>
    <t>Cash flow statement</t>
  </si>
  <si>
    <t>Opening balance bank</t>
  </si>
  <si>
    <t>Tür-/Fensterzubehöre</t>
  </si>
  <si>
    <t>Incoming payments from claims</t>
  </si>
  <si>
    <t>Incoming payments from loans</t>
  </si>
  <si>
    <t>Fassadenelemente</t>
  </si>
  <si>
    <t>Incoming payments from interest earnings</t>
  </si>
  <si>
    <t>Einzahlungen aus Forderungen an Gesellschafter</t>
  </si>
  <si>
    <t>Total incoming payments</t>
  </si>
  <si>
    <t>Farben</t>
  </si>
  <si>
    <t>Payout goods and other expenses</t>
  </si>
  <si>
    <t>Sonstige Baumaterialien</t>
  </si>
  <si>
    <t>Payout investments</t>
  </si>
  <si>
    <t>Payout deposit/contingency fund</t>
  </si>
  <si>
    <t>Kleinwindanlagen</t>
  </si>
  <si>
    <t>Payout personnel costs</t>
  </si>
  <si>
    <t>Pay out pay back of loans</t>
  </si>
  <si>
    <t>Payout interest spending</t>
  </si>
  <si>
    <t>Solarzellen</t>
  </si>
  <si>
    <t>Payout income tax</t>
  </si>
  <si>
    <t>Andere Solarprodukte</t>
  </si>
  <si>
    <t>Total payout</t>
  </si>
  <si>
    <t>Energiesparlampen</t>
  </si>
  <si>
    <t>Closing balance bank</t>
  </si>
  <si>
    <t>Sonstiges</t>
  </si>
  <si>
    <t>Financial key figures</t>
  </si>
  <si>
    <t>Net profit ratio</t>
  </si>
  <si>
    <t>Return on equity (ROE)</t>
  </si>
  <si>
    <t>Return on assets (ROA)</t>
  </si>
  <si>
    <t>Equity ratio</t>
  </si>
  <si>
    <t>2 GJ</t>
  </si>
  <si>
    <t>Debt ratio</t>
  </si>
  <si>
    <t>Premises</t>
  </si>
  <si>
    <t>Taxes are calculated according to German tax law of 2016</t>
  </si>
  <si>
    <t>V.A.T. and input V.A.T are not considered as they are items in transit.</t>
  </si>
  <si>
    <t>Constant linear depreciation of the investments (that are not buildings) within 4 years, buildings 30 years.</t>
  </si>
  <si>
    <t>Constant linear depreciation of the investments (that are buildings) within 30 years.</t>
  </si>
  <si>
    <t>Units are sold during planning stage.</t>
  </si>
  <si>
    <t>Invoices are paid immediately.</t>
  </si>
  <si>
    <t>The average period of storage in the stock of inventory  is 30 days.</t>
  </si>
  <si>
    <t>The goods of the vendors are paid 30 days after receiving the goods in the stock of inventory.</t>
  </si>
  <si>
    <t>3 GJ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</si>
  <si>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</si>
  <si>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</si>
  <si>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</si>
  <si>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</si>
  <si>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</si>
  <si>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</si>
  <si>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</si>
  <si>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</si>
  <si>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</si>
  <si>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</si>
  <si>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</si>
  <si>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</si>
  <si>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</si>
  <si>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</si>
  <si>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</si>
  <si>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</si>
  <si>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</si>
  <si>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</si>
  <si>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</si>
  <si>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</si>
  <si>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</si>
  <si>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</si>
  <si>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</si>
  <si>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</si>
  <si>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Betriebsergebnis vor Steuern</t>
  </si>
  <si>
    <t>EBT (Vorsteuergewinn)</t>
  </si>
  <si>
    <t>#REF!</t>
  </si>
  <si>
    <t>ECO VILLAGE BUSINESS PLAN - Investments</t>
  </si>
  <si>
    <t>ECO VILLAGE BUSINESS PLAN - Financial Plan</t>
  </si>
  <si>
    <t>Seat of the company: ECO VILLAGE BUSINESS PLAN LOCATION</t>
  </si>
</sst>
</file>

<file path=xl/styles.xml><?xml version="1.0" encoding="utf-8"?>
<styleSheet xmlns="http://schemas.openxmlformats.org/spreadsheetml/2006/main">
  <numFmts count="3">
    <numFmt numFmtId="164" formatCode="#,##0.0000"/>
    <numFmt numFmtId="165" formatCode="#,##0.00\ &quot;€&quot;"/>
    <numFmt numFmtId="166" formatCode="0.0%"/>
  </numFmts>
  <fonts count="14">
    <font>
      <sz val="11"/>
      <color rgb="FF000000"/>
      <name val="Calibri"/>
    </font>
    <font>
      <b/>
      <sz val="13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3"/>
      <name val="Calibri"/>
    </font>
    <font>
      <sz val="11"/>
      <name val="Calibri"/>
    </font>
    <font>
      <b/>
      <sz val="12"/>
      <name val="Calibri"/>
    </font>
    <font>
      <sz val="11"/>
      <color rgb="FFFF0000"/>
      <name val="Calibri"/>
    </font>
    <font>
      <sz val="11"/>
      <color rgb="FFFFFFFF"/>
      <name val="Calibri"/>
    </font>
    <font>
      <sz val="10"/>
      <color rgb="FF000000"/>
      <name val="Arimo"/>
    </font>
    <font>
      <b/>
      <sz val="11"/>
      <color rgb="FFFFFFFF"/>
      <name val="Calibri"/>
    </font>
    <font>
      <b/>
      <sz val="11"/>
      <color rgb="FFFF0000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17" fontId="0" fillId="0" borderId="2" xfId="0" applyNumberFormat="1" applyFont="1" applyBorder="1" applyAlignment="1"/>
    <xf numFmtId="17" fontId="0" fillId="0" borderId="1" xfId="0" applyNumberFormat="1" applyFont="1" applyBorder="1" applyAlignment="1"/>
    <xf numFmtId="0" fontId="0" fillId="0" borderId="1" xfId="0" applyFont="1" applyBorder="1" applyAlignment="1"/>
    <xf numFmtId="3" fontId="0" fillId="0" borderId="1" xfId="0" applyNumberFormat="1" applyFont="1" applyBorder="1" applyAlignment="1"/>
    <xf numFmtId="0" fontId="2" fillId="0" borderId="0" xfId="0" applyFont="1" applyAlignment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3" fontId="3" fillId="0" borderId="4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3" fontId="3" fillId="0" borderId="7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wrapText="1"/>
    </xf>
    <xf numFmtId="17" fontId="0" fillId="0" borderId="1" xfId="0" applyNumberFormat="1" applyFont="1" applyBorder="1" applyAlignment="1">
      <alignment wrapText="1"/>
    </xf>
    <xf numFmtId="10" fontId="6" fillId="0" borderId="1" xfId="0" applyNumberFormat="1" applyFont="1" applyBorder="1" applyAlignment="1"/>
    <xf numFmtId="17" fontId="0" fillId="0" borderId="8" xfId="0" applyNumberFormat="1" applyFont="1" applyBorder="1" applyAlignment="1">
      <alignment wrapText="1"/>
    </xf>
    <xf numFmtId="0" fontId="6" fillId="0" borderId="1" xfId="0" applyFont="1" applyBorder="1" applyAlignment="1"/>
    <xf numFmtId="0" fontId="7" fillId="0" borderId="0" xfId="0" applyFont="1" applyAlignment="1">
      <alignment wrapText="1"/>
    </xf>
    <xf numFmtId="0" fontId="8" fillId="0" borderId="9" xfId="0" applyFont="1" applyBorder="1" applyAlignment="1"/>
    <xf numFmtId="0" fontId="8" fillId="0" borderId="0" xfId="0" applyFont="1" applyAlignment="1"/>
    <xf numFmtId="17" fontId="0" fillId="0" borderId="0" xfId="0" applyNumberFormat="1" applyFont="1" applyAlignment="1"/>
    <xf numFmtId="17" fontId="0" fillId="0" borderId="0" xfId="0" applyNumberFormat="1" applyFont="1" applyAlignment="1">
      <alignment wrapText="1"/>
    </xf>
    <xf numFmtId="3" fontId="6" fillId="0" borderId="1" xfId="0" applyNumberFormat="1" applyFont="1" applyBorder="1" applyAlignment="1"/>
    <xf numFmtId="10" fontId="0" fillId="0" borderId="1" xfId="0" applyNumberFormat="1" applyFont="1" applyBorder="1" applyAlignment="1"/>
    <xf numFmtId="3" fontId="0" fillId="0" borderId="8" xfId="0" applyNumberFormat="1" applyFont="1" applyBorder="1" applyAlignment="1"/>
    <xf numFmtId="0" fontId="6" fillId="0" borderId="1" xfId="0" applyFont="1" applyBorder="1" applyAlignment="1">
      <alignment wrapText="1"/>
    </xf>
    <xf numFmtId="3" fontId="8" fillId="0" borderId="9" xfId="0" applyNumberFormat="1" applyFont="1" applyBorder="1" applyAlignment="1"/>
    <xf numFmtId="3" fontId="8" fillId="0" borderId="0" xfId="0" applyNumberFormat="1" applyFont="1" applyAlignment="1"/>
    <xf numFmtId="3" fontId="0" fillId="0" borderId="0" xfId="0" applyNumberFormat="1" applyFont="1" applyAlignment="1"/>
    <xf numFmtId="0" fontId="6" fillId="2" borderId="1" xfId="0" applyFont="1" applyFill="1" applyBorder="1" applyAlignment="1">
      <alignment wrapText="1"/>
    </xf>
    <xf numFmtId="3" fontId="6" fillId="2" borderId="1" xfId="0" applyNumberFormat="1" applyFont="1" applyFill="1" applyBorder="1" applyAlignment="1"/>
    <xf numFmtId="0" fontId="9" fillId="0" borderId="0" xfId="0" applyFont="1" applyAlignment="1"/>
    <xf numFmtId="10" fontId="9" fillId="0" borderId="0" xfId="0" applyNumberFormat="1" applyFont="1" applyAlignment="1"/>
    <xf numFmtId="3" fontId="9" fillId="0" borderId="0" xfId="0" applyNumberFormat="1" applyFont="1" applyAlignment="1"/>
    <xf numFmtId="3" fontId="10" fillId="0" borderId="1" xfId="0" applyNumberFormat="1" applyFont="1" applyBorder="1" applyAlignment="1"/>
    <xf numFmtId="0" fontId="0" fillId="2" borderId="1" xfId="0" applyFont="1" applyFill="1" applyBorder="1" applyAlignment="1">
      <alignment wrapText="1"/>
    </xf>
    <xf numFmtId="0" fontId="9" fillId="0" borderId="9" xfId="0" applyFont="1" applyBorder="1" applyAlignment="1"/>
    <xf numFmtId="3" fontId="9" fillId="0" borderId="9" xfId="0" applyNumberFormat="1" applyFont="1" applyBorder="1" applyAlignment="1"/>
    <xf numFmtId="3" fontId="6" fillId="0" borderId="5" xfId="0" applyNumberFormat="1" applyFont="1" applyBorder="1" applyAlignment="1"/>
    <xf numFmtId="0" fontId="3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3" fontId="6" fillId="0" borderId="0" xfId="0" applyNumberFormat="1" applyFont="1" applyAlignment="1"/>
    <xf numFmtId="3" fontId="3" fillId="0" borderId="8" xfId="0" applyNumberFormat="1" applyFont="1" applyBorder="1" applyAlignment="1"/>
    <xf numFmtId="3" fontId="3" fillId="0" borderId="1" xfId="0" applyNumberFormat="1" applyFont="1" applyBorder="1" applyAlignment="1"/>
    <xf numFmtId="3" fontId="12" fillId="0" borderId="9" xfId="0" applyNumberFormat="1" applyFont="1" applyBorder="1" applyAlignment="1"/>
    <xf numFmtId="3" fontId="12" fillId="0" borderId="0" xfId="0" applyNumberFormat="1" applyFont="1" applyAlignment="1"/>
    <xf numFmtId="3" fontId="3" fillId="0" borderId="0" xfId="0" applyNumberFormat="1" applyFont="1" applyAlignment="1">
      <alignment vertical="center" wrapText="1"/>
    </xf>
    <xf numFmtId="164" fontId="6" fillId="0" borderId="0" xfId="0" applyNumberFormat="1" applyFont="1" applyAlignment="1"/>
    <xf numFmtId="3" fontId="8" fillId="0" borderId="10" xfId="0" applyNumberFormat="1" applyFont="1" applyBorder="1" applyAlignment="1"/>
    <xf numFmtId="0" fontId="8" fillId="0" borderId="0" xfId="0" applyFont="1" applyAlignment="1">
      <alignment wrapText="1"/>
    </xf>
    <xf numFmtId="10" fontId="8" fillId="0" borderId="0" xfId="0" applyNumberFormat="1" applyFont="1" applyAlignment="1"/>
    <xf numFmtId="10" fontId="6" fillId="0" borderId="5" xfId="0" applyNumberFormat="1" applyFont="1" applyBorder="1" applyAlignment="1"/>
    <xf numFmtId="0" fontId="3" fillId="0" borderId="0" xfId="0" applyFont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wrapText="1"/>
    </xf>
    <xf numFmtId="3" fontId="13" fillId="0" borderId="1" xfId="0" applyNumberFormat="1" applyFont="1" applyBorder="1" applyAlignment="1"/>
    <xf numFmtId="3" fontId="13" fillId="0" borderId="5" xfId="0" applyNumberFormat="1" applyFont="1" applyBorder="1" applyAlignment="1"/>
    <xf numFmtId="0" fontId="13" fillId="0" borderId="0" xfId="0" applyFont="1" applyAlignment="1">
      <alignment wrapText="1"/>
    </xf>
    <xf numFmtId="3" fontId="13" fillId="0" borderId="0" xfId="0" applyNumberFormat="1" applyFont="1" applyAlignment="1"/>
    <xf numFmtId="0" fontId="6" fillId="0" borderId="5" xfId="0" applyFont="1" applyBorder="1" applyAlignment="1">
      <alignment wrapText="1"/>
    </xf>
    <xf numFmtId="3" fontId="6" fillId="0" borderId="5" xfId="0" applyNumberFormat="1" applyFont="1" applyBorder="1" applyAlignment="1">
      <alignment wrapText="1"/>
    </xf>
    <xf numFmtId="0" fontId="13" fillId="0" borderId="5" xfId="0" applyFont="1" applyBorder="1" applyAlignment="1">
      <alignment wrapText="1"/>
    </xf>
    <xf numFmtId="3" fontId="13" fillId="0" borderId="5" xfId="0" applyNumberFormat="1" applyFont="1" applyBorder="1" applyAlignment="1">
      <alignment wrapText="1"/>
    </xf>
    <xf numFmtId="0" fontId="0" fillId="0" borderId="0" xfId="0" applyFont="1" applyAlignment="1"/>
    <xf numFmtId="0" fontId="0" fillId="0" borderId="11" xfId="0" applyFont="1" applyBorder="1" applyAlignment="1"/>
    <xf numFmtId="0" fontId="8" fillId="0" borderId="0" xfId="0" applyFont="1" applyAlignment="1">
      <alignment horizontal="center"/>
    </xf>
    <xf numFmtId="0" fontId="0" fillId="0" borderId="5" xfId="0" applyFont="1" applyBorder="1" applyAlignment="1">
      <alignment vertical="top" wrapText="1"/>
    </xf>
    <xf numFmtId="17" fontId="0" fillId="0" borderId="12" xfId="0" applyNumberFormat="1" applyFont="1" applyBorder="1" applyAlignment="1">
      <alignment wrapText="1"/>
    </xf>
    <xf numFmtId="17" fontId="9" fillId="0" borderId="0" xfId="0" applyNumberFormat="1" applyFont="1" applyAlignment="1">
      <alignment wrapText="1"/>
    </xf>
    <xf numFmtId="0" fontId="0" fillId="0" borderId="5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65" fontId="0" fillId="0" borderId="12" xfId="0" applyNumberFormat="1" applyFont="1" applyBorder="1" applyAlignment="1"/>
    <xf numFmtId="9" fontId="9" fillId="0" borderId="0" xfId="0" applyNumberFormat="1" applyFont="1" applyAlignment="1"/>
    <xf numFmtId="165" fontId="0" fillId="0" borderId="12" xfId="0" applyNumberFormat="1" applyFont="1" applyBorder="1" applyAlignment="1">
      <alignment horizontal="right"/>
    </xf>
    <xf numFmtId="165" fontId="0" fillId="0" borderId="13" xfId="0" applyNumberFormat="1" applyFont="1" applyBorder="1" applyAlignment="1"/>
    <xf numFmtId="0" fontId="13" fillId="0" borderId="1" xfId="0" applyFont="1" applyBorder="1" applyAlignment="1"/>
    <xf numFmtId="17" fontId="6" fillId="0" borderId="2" xfId="0" applyNumberFormat="1" applyFont="1" applyBorder="1" applyAlignment="1"/>
    <xf numFmtId="3" fontId="3" fillId="0" borderId="1" xfId="0" applyNumberFormat="1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3" fontId="6" fillId="0" borderId="2" xfId="0" applyNumberFormat="1" applyFont="1" applyBorder="1" applyAlignment="1"/>
    <xf numFmtId="0" fontId="3" fillId="0" borderId="14" xfId="0" applyFont="1" applyBorder="1" applyAlignment="1">
      <alignment wrapText="1"/>
    </xf>
    <xf numFmtId="3" fontId="13" fillId="0" borderId="14" xfId="0" applyNumberFormat="1" applyFont="1" applyBorder="1" applyAlignment="1"/>
    <xf numFmtId="0" fontId="0" fillId="0" borderId="15" xfId="0" applyFont="1" applyBorder="1" applyAlignment="1">
      <alignment wrapText="1"/>
    </xf>
    <xf numFmtId="3" fontId="6" fillId="0" borderId="15" xfId="0" applyNumberFormat="1" applyFont="1" applyBorder="1" applyAlignment="1"/>
    <xf numFmtId="0" fontId="6" fillId="0" borderId="9" xfId="0" applyFont="1" applyBorder="1" applyAlignment="1"/>
    <xf numFmtId="0" fontId="9" fillId="0" borderId="0" xfId="0" applyFont="1" applyAlignment="1">
      <alignment wrapText="1"/>
    </xf>
    <xf numFmtId="166" fontId="6" fillId="0" borderId="1" xfId="0" applyNumberFormat="1" applyFont="1" applyBorder="1" applyAlignment="1"/>
    <xf numFmtId="3" fontId="11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0" fillId="0" borderId="5" xfId="0" applyFont="1" applyBorder="1" applyAlignment="1"/>
    <xf numFmtId="0" fontId="6" fillId="0" borderId="6" xfId="0" applyFont="1" applyBorder="1" applyAlignment="1"/>
    <xf numFmtId="0" fontId="6" fillId="0" borderId="8" xfId="0" applyFont="1" applyBorder="1" applyAlignment="1"/>
    <xf numFmtId="10" fontId="3" fillId="0" borderId="1" xfId="0" applyNumberFormat="1" applyFont="1" applyBorder="1" applyAlignment="1"/>
    <xf numFmtId="4" fontId="11" fillId="0" borderId="0" xfId="0" applyNumberFormat="1" applyFont="1" applyAlignment="1">
      <alignment vertical="center" wrapText="1"/>
    </xf>
    <xf numFmtId="3" fontId="3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8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0" xfId="0" applyFont="1" applyAlignment="1"/>
    <xf numFmtId="0" fontId="0" fillId="0" borderId="5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de-DE"/>
              <a:t>Revenues (Monthly, 1st-3rd Year)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666699"/>
            </a:solidFill>
          </c:spPr>
          <c:cat>
            <c:strRef>
              <c:f>Diagrams!$B$48:$AK$48</c:f>
              <c:strCache>
                <c:ptCount val="36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</c:strCache>
            </c:strRef>
          </c:cat>
          <c:val>
            <c:numRef>
              <c:f>Diagrams!$B$49:$AK$49</c:f>
              <c:numCache>
                <c:formatCode>#,##0</c:formatCode>
                <c:ptCount val="36"/>
                <c:pt idx="0">
                  <c:v>20000</c:v>
                </c:pt>
                <c:pt idx="1">
                  <c:v>22000</c:v>
                </c:pt>
                <c:pt idx="2">
                  <c:v>24000</c:v>
                </c:pt>
                <c:pt idx="3">
                  <c:v>18000</c:v>
                </c:pt>
                <c:pt idx="4">
                  <c:v>14000.000000000002</c:v>
                </c:pt>
                <c:pt idx="5">
                  <c:v>10000</c:v>
                </c:pt>
                <c:pt idx="6">
                  <c:v>8000</c:v>
                </c:pt>
                <c:pt idx="7">
                  <c:v>8000</c:v>
                </c:pt>
                <c:pt idx="8">
                  <c:v>10000</c:v>
                </c:pt>
                <c:pt idx="9">
                  <c:v>14000.000000000002</c:v>
                </c:pt>
                <c:pt idx="10">
                  <c:v>26000</c:v>
                </c:pt>
                <c:pt idx="11">
                  <c:v>26000</c:v>
                </c:pt>
                <c:pt idx="12">
                  <c:v>36000</c:v>
                </c:pt>
                <c:pt idx="13">
                  <c:v>36000</c:v>
                </c:pt>
                <c:pt idx="14">
                  <c:v>36000</c:v>
                </c:pt>
                <c:pt idx="15">
                  <c:v>30000</c:v>
                </c:pt>
                <c:pt idx="16">
                  <c:v>21000.000000000004</c:v>
                </c:pt>
                <c:pt idx="17">
                  <c:v>15000</c:v>
                </c:pt>
                <c:pt idx="18">
                  <c:v>12000</c:v>
                </c:pt>
                <c:pt idx="19">
                  <c:v>12000</c:v>
                </c:pt>
                <c:pt idx="20">
                  <c:v>15000</c:v>
                </c:pt>
                <c:pt idx="21">
                  <c:v>18000</c:v>
                </c:pt>
                <c:pt idx="22">
                  <c:v>33000</c:v>
                </c:pt>
                <c:pt idx="23">
                  <c:v>36000</c:v>
                </c:pt>
                <c:pt idx="24">
                  <c:v>48000</c:v>
                </c:pt>
                <c:pt idx="25">
                  <c:v>48000</c:v>
                </c:pt>
                <c:pt idx="26">
                  <c:v>48000</c:v>
                </c:pt>
                <c:pt idx="27">
                  <c:v>40000</c:v>
                </c:pt>
                <c:pt idx="28">
                  <c:v>28000.000000000004</c:v>
                </c:pt>
                <c:pt idx="29">
                  <c:v>20000</c:v>
                </c:pt>
                <c:pt idx="30">
                  <c:v>16000</c:v>
                </c:pt>
                <c:pt idx="31">
                  <c:v>16000</c:v>
                </c:pt>
                <c:pt idx="32">
                  <c:v>20000</c:v>
                </c:pt>
                <c:pt idx="33">
                  <c:v>24000</c:v>
                </c:pt>
                <c:pt idx="34">
                  <c:v>44000</c:v>
                </c:pt>
                <c:pt idx="35">
                  <c:v>48000</c:v>
                </c:pt>
              </c:numCache>
            </c:numRef>
          </c:val>
        </c:ser>
        <c:axId val="123815808"/>
        <c:axId val="123817344"/>
      </c:barChart>
      <c:catAx>
        <c:axId val="123815808"/>
        <c:scaling>
          <c:orientation val="minMax"/>
        </c:scaling>
        <c:axPos val="b"/>
        <c:tickLblPos val="nextTo"/>
        <c:txPr>
          <a:bodyPr/>
          <a:lstStyle/>
          <a:p>
            <a:pPr lvl="0">
              <a:defRPr b="0"/>
            </a:pPr>
            <a:endParaRPr lang="de-DE"/>
          </a:p>
        </c:txPr>
        <c:crossAx val="123817344"/>
        <c:crosses val="autoZero"/>
        <c:lblAlgn val="ctr"/>
        <c:lblOffset val="100"/>
      </c:catAx>
      <c:valAx>
        <c:axId val="123817344"/>
        <c:scaling>
          <c:orientation val="minMax"/>
        </c:scaling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#,##0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e-DE"/>
          </a:p>
        </c:txPr>
        <c:crossAx val="123815808"/>
        <c:crosses val="autoZero"/>
        <c:crossBetween val="between"/>
      </c:valAx>
      <c:spPr>
        <a:solidFill>
          <a:srgbClr val="FFFFFF"/>
        </a:solidFill>
      </c:spPr>
    </c:plotArea>
  </c:chart>
  <c:spPr>
    <a:solidFill>
      <a:srgbClr val="FFFFFF"/>
    </a:solidFill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de-DE"/>
              <a:t>Revenues (1st-3rd Year)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666699"/>
            </a:solidFill>
          </c:spPr>
          <c:val>
            <c:numRef>
              <c:f>Financials!$N$29:$P$29</c:f>
              <c:numCache>
                <c:formatCode>#,##0</c:formatCode>
                <c:ptCount val="3"/>
                <c:pt idx="0">
                  <c:v>200000</c:v>
                </c:pt>
                <c:pt idx="1">
                  <c:v>300000</c:v>
                </c:pt>
                <c:pt idx="2">
                  <c:v>400000</c:v>
                </c:pt>
              </c:numCache>
            </c:numRef>
          </c:val>
        </c:ser>
        <c:axId val="70163456"/>
        <c:axId val="70169344"/>
      </c:barChart>
      <c:catAx>
        <c:axId val="70163456"/>
        <c:scaling>
          <c:orientation val="minMax"/>
        </c:scaling>
        <c:axPos val="b"/>
        <c:tickLblPos val="nextTo"/>
        <c:txPr>
          <a:bodyPr/>
          <a:lstStyle/>
          <a:p>
            <a:pPr lvl="0">
              <a:defRPr b="0"/>
            </a:pPr>
            <a:endParaRPr lang="de-DE"/>
          </a:p>
        </c:txPr>
        <c:crossAx val="70169344"/>
        <c:crosses val="autoZero"/>
        <c:lblAlgn val="ctr"/>
        <c:lblOffset val="100"/>
      </c:catAx>
      <c:valAx>
        <c:axId val="70169344"/>
        <c:scaling>
          <c:orientation val="minMax"/>
        </c:scaling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#,##0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e-DE"/>
          </a:p>
        </c:txPr>
        <c:crossAx val="70163456"/>
        <c:crosses val="autoZero"/>
        <c:crossBetween val="between"/>
      </c:valAx>
      <c:spPr>
        <a:solidFill>
          <a:srgbClr val="FFFFFF"/>
        </a:solidFill>
      </c:spPr>
    </c:plotArea>
  </c:chart>
  <c:spPr>
    <a:solidFill>
      <a:srgbClr val="FFFFFF"/>
    </a:solidFill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de-DE"/>
              <a:t>Anteil am Umsatz nach Dienstleistungssparten (konsolidiert im 3. GJ)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666699"/>
              </a:solidFill>
            </c:spPr>
          </c:dPt>
          <c:dPt>
            <c:idx val="1"/>
            <c:spPr>
              <a:solidFill>
                <a:srgbClr val="993366"/>
              </a:solidFill>
            </c:spPr>
          </c:dPt>
          <c:dPt>
            <c:idx val="2"/>
            <c:spPr>
              <a:solidFill>
                <a:srgbClr val="808080"/>
              </a:solidFill>
            </c:spPr>
          </c:dPt>
          <c:dPt>
            <c:idx val="3"/>
            <c:spPr>
              <a:solidFill>
                <a:srgbClr val="666699"/>
              </a:solidFill>
            </c:spPr>
          </c:dPt>
          <c:dPt>
            <c:idx val="4"/>
            <c:spPr>
              <a:solidFill>
                <a:srgbClr val="339966"/>
              </a:solidFill>
            </c:spPr>
          </c:dPt>
          <c:dPt>
            <c:idx val="5"/>
            <c:spPr>
              <a:solidFill>
                <a:srgbClr val="FF8080"/>
              </a:solidFill>
            </c:spPr>
          </c:dPt>
          <c:dPt>
            <c:idx val="6"/>
            <c:spPr>
              <a:solidFill>
                <a:srgbClr val="618EC4"/>
              </a:solidFill>
            </c:spPr>
          </c:dPt>
          <c:dPt>
            <c:idx val="7"/>
            <c:spPr>
              <a:solidFill>
                <a:srgbClr val="C6625F"/>
              </a:solidFill>
            </c:spPr>
          </c:dPt>
          <c:dLbls>
            <c:showPercent val="1"/>
            <c:showLeaderLines val="1"/>
          </c:dLbls>
          <c:cat>
            <c:strRef>
              <c:f>Revenues!$A$33:$A$40</c:f>
              <c:strCache>
                <c:ptCount val="8"/>
                <c:pt idx="0">
                  <c:v>Premium-Menüs</c:v>
                </c:pt>
                <c:pt idx="1">
                  <c:v>Premium-Getränke</c:v>
                </c:pt>
                <c:pt idx="2">
                  <c:v>6 Tage Schnuppertherapie</c:v>
                </c:pt>
                <c:pt idx="3">
                  <c:v>6 Tage Intensivtherapie</c:v>
                </c:pt>
                <c:pt idx="4">
                  <c:v>13 Tage Intensivtherapie</c:v>
                </c:pt>
                <c:pt idx="5">
                  <c:v>27 Tage Intensivtherapie</c:v>
                </c:pt>
                <c:pt idx="6">
                  <c:v>Verlängerungstage</c:v>
                </c:pt>
                <c:pt idx="7">
                  <c:v>Sonstige Dienstleistungen</c:v>
                </c:pt>
              </c:strCache>
            </c:strRef>
          </c:cat>
          <c:val>
            <c:numRef>
              <c:f>Revenues!$B$33:$B$40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0.12026365493582084</c:v>
                </c:pt>
                <c:pt idx="3">
                  <c:v>0.26789500057819066</c:v>
                </c:pt>
                <c:pt idx="4">
                  <c:v>0.36533939791080444</c:v>
                </c:pt>
                <c:pt idx="5">
                  <c:v>0</c:v>
                </c:pt>
                <c:pt idx="6">
                  <c:v>0.13394750028909533</c:v>
                </c:pt>
                <c:pt idx="7">
                  <c:v>0.11255444628608872</c:v>
                </c:pt>
              </c:numCache>
            </c:numRef>
          </c:val>
        </c:ser>
        <c:dLbls/>
        <c:firstSliceAng val="0"/>
      </c:pieChart>
      <c:spPr>
        <a:solidFill>
          <a:srgbClr val="FFFFFF"/>
        </a:solidFill>
      </c:spPr>
    </c:plotArea>
    <c:legend>
      <c:legendPos val="r"/>
      <c:layout/>
    </c:legend>
  </c:chart>
  <c:spPr>
    <a:solidFill>
      <a:srgbClr val="FFFFFF"/>
    </a:solidFill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de-DE"/>
              <a:t>Earnings before taxes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666699"/>
            </a:solidFill>
          </c:spPr>
          <c:cat>
            <c:strRef>
              <c:f>Diagrams!$B$51:$D$51</c:f>
              <c:strCache>
                <c:ptCount val="3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</c:strCache>
            </c:strRef>
          </c:cat>
          <c:val>
            <c:numRef>
              <c:f>Diagrams!$B$52:$D$52</c:f>
              <c:numCache>
                <c:formatCode>#,##0</c:formatCode>
                <c:ptCount val="3"/>
                <c:pt idx="0">
                  <c:v>93777.011115561967</c:v>
                </c:pt>
                <c:pt idx="1">
                  <c:v>131122.42338891112</c:v>
                </c:pt>
                <c:pt idx="2">
                  <c:v>147978.56917252234</c:v>
                </c:pt>
              </c:numCache>
            </c:numRef>
          </c:val>
        </c:ser>
        <c:axId val="70112768"/>
        <c:axId val="70114304"/>
      </c:barChart>
      <c:catAx>
        <c:axId val="70112768"/>
        <c:scaling>
          <c:orientation val="minMax"/>
        </c:scaling>
        <c:axPos val="b"/>
        <c:tickLblPos val="nextTo"/>
        <c:txPr>
          <a:bodyPr/>
          <a:lstStyle/>
          <a:p>
            <a:pPr lvl="0">
              <a:defRPr b="0"/>
            </a:pPr>
            <a:endParaRPr lang="de-DE"/>
          </a:p>
        </c:txPr>
        <c:crossAx val="70114304"/>
        <c:crosses val="autoZero"/>
        <c:lblAlgn val="ctr"/>
        <c:lblOffset val="100"/>
      </c:catAx>
      <c:valAx>
        <c:axId val="70114304"/>
        <c:scaling>
          <c:orientation val="minMax"/>
        </c:scaling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#,##0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e-DE"/>
          </a:p>
        </c:txPr>
        <c:crossAx val="70112768"/>
        <c:crosses val="autoZero"/>
        <c:crossBetween val="between"/>
      </c:valAx>
      <c:spPr>
        <a:solidFill>
          <a:srgbClr val="FFFFFF"/>
        </a:solidFill>
      </c:spPr>
    </c:plotArea>
  </c:chart>
  <c:spPr>
    <a:solidFill>
      <a:srgbClr val="FFFFFF"/>
    </a:solidFill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 lvl="0">
              <a:defRPr sz="1800" b="1" i="0">
                <a:solidFill>
                  <a:srgbClr val="000000"/>
                </a:solidFill>
              </a:defRPr>
            </a:pPr>
            <a:r>
              <a:rPr lang="de-DE"/>
              <a:t>Revenues (Monthly, 1st-3rd Year)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666699"/>
            </a:solidFill>
          </c:spPr>
          <c:cat>
            <c:strRef>
              <c:f>Diagrams!$B$48:$AK$48</c:f>
              <c:strCache>
                <c:ptCount val="36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</c:strCache>
            </c:strRef>
          </c:cat>
          <c:val>
            <c:numRef>
              <c:f>Diagrams!$B$49:$AK$49</c:f>
              <c:numCache>
                <c:formatCode>#,##0</c:formatCode>
                <c:ptCount val="36"/>
                <c:pt idx="0">
                  <c:v>20000</c:v>
                </c:pt>
                <c:pt idx="1">
                  <c:v>22000</c:v>
                </c:pt>
                <c:pt idx="2">
                  <c:v>24000</c:v>
                </c:pt>
                <c:pt idx="3">
                  <c:v>18000</c:v>
                </c:pt>
                <c:pt idx="4">
                  <c:v>14000.000000000002</c:v>
                </c:pt>
                <c:pt idx="5">
                  <c:v>10000</c:v>
                </c:pt>
                <c:pt idx="6">
                  <c:v>8000</c:v>
                </c:pt>
                <c:pt idx="7">
                  <c:v>8000</c:v>
                </c:pt>
                <c:pt idx="8">
                  <c:v>10000</c:v>
                </c:pt>
                <c:pt idx="9">
                  <c:v>14000.000000000002</c:v>
                </c:pt>
                <c:pt idx="10">
                  <c:v>26000</c:v>
                </c:pt>
                <c:pt idx="11">
                  <c:v>26000</c:v>
                </c:pt>
                <c:pt idx="12">
                  <c:v>36000</c:v>
                </c:pt>
                <c:pt idx="13">
                  <c:v>36000</c:v>
                </c:pt>
                <c:pt idx="14">
                  <c:v>36000</c:v>
                </c:pt>
                <c:pt idx="15">
                  <c:v>30000</c:v>
                </c:pt>
                <c:pt idx="16">
                  <c:v>21000.000000000004</c:v>
                </c:pt>
                <c:pt idx="17">
                  <c:v>15000</c:v>
                </c:pt>
                <c:pt idx="18">
                  <c:v>12000</c:v>
                </c:pt>
                <c:pt idx="19">
                  <c:v>12000</c:v>
                </c:pt>
                <c:pt idx="20">
                  <c:v>15000</c:v>
                </c:pt>
                <c:pt idx="21">
                  <c:v>18000</c:v>
                </c:pt>
                <c:pt idx="22">
                  <c:v>33000</c:v>
                </c:pt>
                <c:pt idx="23">
                  <c:v>36000</c:v>
                </c:pt>
                <c:pt idx="24">
                  <c:v>48000</c:v>
                </c:pt>
                <c:pt idx="25">
                  <c:v>48000</c:v>
                </c:pt>
                <c:pt idx="26">
                  <c:v>48000</c:v>
                </c:pt>
                <c:pt idx="27">
                  <c:v>40000</c:v>
                </c:pt>
                <c:pt idx="28">
                  <c:v>28000.000000000004</c:v>
                </c:pt>
                <c:pt idx="29">
                  <c:v>20000</c:v>
                </c:pt>
                <c:pt idx="30">
                  <c:v>16000</c:v>
                </c:pt>
                <c:pt idx="31">
                  <c:v>16000</c:v>
                </c:pt>
                <c:pt idx="32">
                  <c:v>20000</c:v>
                </c:pt>
                <c:pt idx="33">
                  <c:v>24000</c:v>
                </c:pt>
                <c:pt idx="34">
                  <c:v>44000</c:v>
                </c:pt>
                <c:pt idx="35">
                  <c:v>48000</c:v>
                </c:pt>
              </c:numCache>
            </c:numRef>
          </c:val>
        </c:ser>
        <c:axId val="70658304"/>
        <c:axId val="70680576"/>
      </c:barChart>
      <c:catAx>
        <c:axId val="70658304"/>
        <c:scaling>
          <c:orientation val="minMax"/>
        </c:scaling>
        <c:axPos val="b"/>
        <c:tickLblPos val="nextTo"/>
        <c:txPr>
          <a:bodyPr/>
          <a:lstStyle/>
          <a:p>
            <a:pPr lvl="0">
              <a:defRPr b="0"/>
            </a:pPr>
            <a:endParaRPr lang="de-DE"/>
          </a:p>
        </c:txPr>
        <c:crossAx val="70680576"/>
        <c:crosses val="autoZero"/>
        <c:lblAlgn val="ctr"/>
        <c:lblOffset val="100"/>
      </c:catAx>
      <c:valAx>
        <c:axId val="70680576"/>
        <c:scaling>
          <c:orientation val="minMax"/>
        </c:scaling>
        <c:axPos val="l"/>
        <c:majorGridlines>
          <c:spPr>
            <a:ln>
              <a:solidFill>
                <a:srgbClr val="808080"/>
              </a:solidFill>
            </a:ln>
          </c:spPr>
        </c:majorGridlines>
        <c:numFmt formatCode="#,##0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de-DE"/>
          </a:p>
        </c:txPr>
        <c:crossAx val="70658304"/>
        <c:crosses val="autoZero"/>
        <c:crossBetween val="between"/>
      </c:valAx>
      <c:spPr>
        <a:solidFill>
          <a:srgbClr val="FFFFFF"/>
        </a:solidFill>
      </c:spPr>
    </c:plotArea>
  </c:chart>
  <c:spPr>
    <a:solidFill>
      <a:srgbClr val="FFFFFF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53</xdr:row>
      <xdr:rowOff>171450</xdr:rowOff>
    </xdr:from>
    <xdr:ext cx="12192000" cy="2695575"/>
    <xdr:graphicFrame macro="">
      <xdr:nvGraphicFramePr>
        <xdr:cNvPr id="0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133350</xdr:colOff>
      <xdr:row>69</xdr:row>
      <xdr:rowOff>142875</xdr:rowOff>
    </xdr:from>
    <xdr:ext cx="5362575" cy="3438525"/>
    <xdr:graphicFrame macro="">
      <xdr:nvGraphicFramePr>
        <xdr:cNvPr id="2" name="Chart 2" descr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60</xdr:col>
      <xdr:colOff>504825</xdr:colOff>
      <xdr:row>157</xdr:row>
      <xdr:rowOff>57150</xdr:rowOff>
    </xdr:from>
    <xdr:ext cx="5334000" cy="3476625"/>
    <xdr:graphicFrame macro="">
      <xdr:nvGraphicFramePr>
        <xdr:cNvPr id="3" name="Chart 3" descr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5</xdr:col>
      <xdr:colOff>762000</xdr:colOff>
      <xdr:row>69</xdr:row>
      <xdr:rowOff>142875</xdr:rowOff>
    </xdr:from>
    <xdr:ext cx="5372100" cy="3448050"/>
    <xdr:graphicFrame macro="">
      <xdr:nvGraphicFramePr>
        <xdr:cNvPr id="4" name="Chart 4" descr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23</xdr:col>
      <xdr:colOff>28575</xdr:colOff>
      <xdr:row>55</xdr:row>
      <xdr:rowOff>180975</xdr:rowOff>
    </xdr:from>
    <xdr:ext cx="6829425" cy="4229100"/>
    <xdr:graphicFrame macro="">
      <xdr:nvGraphicFramePr>
        <xdr:cNvPr id="5" name="Chart 5" descr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B17" sqref="B17"/>
    </sheetView>
  </sheetViews>
  <sheetFormatPr baseColWidth="10" defaultColWidth="14.44140625" defaultRowHeight="15" customHeight="1"/>
  <cols>
    <col min="1" max="1" width="32.44140625" customWidth="1"/>
    <col min="2" max="2" width="13.6640625" customWidth="1"/>
    <col min="3" max="3" width="8.44140625" customWidth="1"/>
    <col min="4" max="11" width="8.33203125" customWidth="1"/>
    <col min="12" max="14" width="9.33203125" customWidth="1"/>
    <col min="15" max="15" width="12.33203125" customWidth="1"/>
    <col min="16" max="17" width="9.33203125" customWidth="1"/>
    <col min="18" max="26" width="10" customWidth="1"/>
  </cols>
  <sheetData>
    <row r="1" spans="1:17" ht="17.25" customHeight="1">
      <c r="A1" s="1" t="s">
        <v>300</v>
      </c>
    </row>
    <row r="2" spans="1:17" ht="14.25" customHeight="1">
      <c r="A2" s="2"/>
    </row>
    <row r="3" spans="1:17" ht="15.6">
      <c r="A3" s="3" t="s">
        <v>0</v>
      </c>
    </row>
    <row r="4" spans="1:17" ht="30" customHeight="1">
      <c r="A4" s="2"/>
      <c r="B4" s="4" t="s">
        <v>1</v>
      </c>
      <c r="C4" s="5" t="s">
        <v>2</v>
      </c>
      <c r="D4" s="6" t="s">
        <v>3</v>
      </c>
      <c r="E4" s="6" t="s">
        <v>4</v>
      </c>
      <c r="F4" s="5" t="s">
        <v>5</v>
      </c>
      <c r="G4" s="6" t="s">
        <v>6</v>
      </c>
      <c r="H4" s="6" t="s">
        <v>7</v>
      </c>
      <c r="I4" s="5" t="s">
        <v>8</v>
      </c>
      <c r="J4" s="6" t="s">
        <v>9</v>
      </c>
      <c r="K4" s="6" t="s">
        <v>10</v>
      </c>
      <c r="L4" s="5" t="s">
        <v>11</v>
      </c>
      <c r="M4" s="6" t="s">
        <v>12</v>
      </c>
      <c r="N4" s="6" t="s">
        <v>13</v>
      </c>
      <c r="O4" s="7" t="s">
        <v>14</v>
      </c>
      <c r="P4" s="7" t="s">
        <v>15</v>
      </c>
      <c r="Q4" s="7" t="s">
        <v>16</v>
      </c>
    </row>
    <row r="5" spans="1:17" ht="14.25" customHeight="1">
      <c r="A5" s="4" t="s">
        <v>17</v>
      </c>
      <c r="B5" s="8">
        <v>300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f t="shared" ref="O5:O17" si="0">SUM(B5:N5)</f>
        <v>300</v>
      </c>
      <c r="P5" s="8">
        <v>0</v>
      </c>
      <c r="Q5" s="8">
        <v>0</v>
      </c>
    </row>
    <row r="6" spans="1:17" ht="14.25" customHeight="1">
      <c r="A6" s="4" t="s">
        <v>18</v>
      </c>
      <c r="B6" s="8">
        <v>300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f t="shared" si="0"/>
        <v>300</v>
      </c>
      <c r="P6" s="8">
        <v>0</v>
      </c>
      <c r="Q6" s="8">
        <v>0</v>
      </c>
    </row>
    <row r="7" spans="1:17" ht="14.25" customHeight="1">
      <c r="A7" s="4" t="s">
        <v>19</v>
      </c>
      <c r="B7" s="8">
        <v>2000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f t="shared" si="0"/>
        <v>2000</v>
      </c>
      <c r="P7" s="8">
        <v>0</v>
      </c>
      <c r="Q7" s="8">
        <v>0</v>
      </c>
    </row>
    <row r="8" spans="1:17" ht="14.25" customHeight="1">
      <c r="A8" s="4" t="s">
        <v>20</v>
      </c>
      <c r="B8" s="8">
        <v>1000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f t="shared" si="0"/>
        <v>1000</v>
      </c>
      <c r="P8" s="8">
        <v>0</v>
      </c>
      <c r="Q8" s="8">
        <v>0</v>
      </c>
    </row>
    <row r="9" spans="1:17" ht="14.25" customHeight="1">
      <c r="A9" s="4" t="s">
        <v>21</v>
      </c>
      <c r="B9" s="8">
        <v>600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f t="shared" si="0"/>
        <v>600</v>
      </c>
      <c r="P9" s="8">
        <v>0</v>
      </c>
      <c r="Q9" s="8">
        <v>0</v>
      </c>
    </row>
    <row r="10" spans="1:17" ht="14.25" customHeight="1">
      <c r="A10" s="4" t="s">
        <v>22</v>
      </c>
      <c r="B10" s="8">
        <v>3000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f t="shared" si="0"/>
        <v>3000</v>
      </c>
      <c r="P10" s="8">
        <v>0</v>
      </c>
      <c r="Q10" s="8">
        <v>0</v>
      </c>
    </row>
    <row r="11" spans="1:17" ht="14.25" customHeight="1">
      <c r="A11" s="4" t="s">
        <v>23</v>
      </c>
      <c r="B11" s="8">
        <v>5000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f t="shared" si="0"/>
        <v>5000</v>
      </c>
      <c r="P11" s="8">
        <v>0</v>
      </c>
      <c r="Q11" s="8">
        <v>0</v>
      </c>
    </row>
    <row r="12" spans="1:17" ht="14.25" customHeight="1">
      <c r="A12" s="4" t="s">
        <v>24</v>
      </c>
      <c r="B12" s="8">
        <v>1500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f t="shared" si="0"/>
        <v>1500</v>
      </c>
      <c r="P12" s="8">
        <v>0</v>
      </c>
      <c r="Q12" s="8">
        <v>0</v>
      </c>
    </row>
    <row r="13" spans="1:17" ht="14.25" customHeight="1">
      <c r="A13" s="4" t="s">
        <v>25</v>
      </c>
      <c r="B13" s="8">
        <v>300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f t="shared" si="0"/>
        <v>300</v>
      </c>
      <c r="P13" s="8">
        <v>0</v>
      </c>
      <c r="Q13" s="8">
        <v>0</v>
      </c>
    </row>
    <row r="14" spans="1:17" ht="14.25" customHeight="1">
      <c r="A14" s="4" t="s">
        <v>26</v>
      </c>
      <c r="B14" s="8">
        <v>1000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f t="shared" si="0"/>
        <v>1000</v>
      </c>
      <c r="P14" s="8">
        <v>0</v>
      </c>
      <c r="Q14" s="8">
        <v>0</v>
      </c>
    </row>
    <row r="15" spans="1:17" ht="14.25" customHeight="1">
      <c r="A15" s="4" t="s">
        <v>27</v>
      </c>
      <c r="B15" s="8">
        <v>11000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f t="shared" si="0"/>
        <v>11000</v>
      </c>
      <c r="P15" s="8">
        <v>0</v>
      </c>
      <c r="Q15" s="8">
        <v>0</v>
      </c>
    </row>
    <row r="16" spans="1:17" ht="14.4">
      <c r="A16" s="4" t="s">
        <v>30</v>
      </c>
      <c r="B16" s="8">
        <v>1500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f t="shared" si="0"/>
        <v>1500</v>
      </c>
      <c r="P16" s="8">
        <v>0</v>
      </c>
      <c r="Q16" s="8">
        <v>0</v>
      </c>
    </row>
    <row r="17" spans="1:26" ht="16.5" customHeight="1">
      <c r="A17" s="11" t="s">
        <v>0</v>
      </c>
      <c r="B17" s="13">
        <f t="shared" ref="B17:N17" si="1">SUM(B5:B16)</f>
        <v>27500</v>
      </c>
      <c r="C17" s="13">
        <f t="shared" si="1"/>
        <v>0</v>
      </c>
      <c r="D17" s="13">
        <f t="shared" si="1"/>
        <v>0</v>
      </c>
      <c r="E17" s="13">
        <f t="shared" si="1"/>
        <v>0</v>
      </c>
      <c r="F17" s="13">
        <f t="shared" si="1"/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  <c r="L17" s="13">
        <f t="shared" si="1"/>
        <v>0</v>
      </c>
      <c r="M17" s="13">
        <f t="shared" si="1"/>
        <v>0</v>
      </c>
      <c r="N17" s="13">
        <f t="shared" si="1"/>
        <v>0</v>
      </c>
      <c r="O17" s="14">
        <f t="shared" si="0"/>
        <v>27500</v>
      </c>
      <c r="P17" s="13">
        <f t="shared" ref="P17:Q17" si="2">SUM(P5:P16)</f>
        <v>0</v>
      </c>
      <c r="Q17" s="17">
        <f t="shared" si="2"/>
        <v>0</v>
      </c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4.25" customHeight="1"/>
    <row r="19" spans="1:26" ht="15.6">
      <c r="A19" s="3" t="s">
        <v>32</v>
      </c>
    </row>
    <row r="20" spans="1:26" ht="14.25" customHeight="1">
      <c r="A20" s="2"/>
      <c r="B20" s="4" t="s">
        <v>33</v>
      </c>
      <c r="C20" s="5" t="s">
        <v>2</v>
      </c>
      <c r="D20" s="6" t="s">
        <v>3</v>
      </c>
      <c r="E20" s="6" t="s">
        <v>4</v>
      </c>
      <c r="F20" s="5" t="s">
        <v>5</v>
      </c>
      <c r="G20" s="6" t="s">
        <v>6</v>
      </c>
      <c r="H20" s="6" t="s">
        <v>7</v>
      </c>
      <c r="I20" s="5" t="s">
        <v>8</v>
      </c>
      <c r="J20" s="6" t="s">
        <v>9</v>
      </c>
      <c r="K20" s="6" t="s">
        <v>10</v>
      </c>
      <c r="L20" s="5" t="s">
        <v>11</v>
      </c>
      <c r="M20" s="6" t="s">
        <v>12</v>
      </c>
      <c r="N20" s="6" t="s">
        <v>13</v>
      </c>
      <c r="O20" s="7" t="s">
        <v>14</v>
      </c>
      <c r="P20" s="7" t="s">
        <v>15</v>
      </c>
      <c r="Q20" s="7" t="s">
        <v>16</v>
      </c>
    </row>
    <row r="21" spans="1:26" ht="14.25" customHeight="1">
      <c r="A21" s="4" t="s">
        <v>34</v>
      </c>
      <c r="B21" s="8">
        <v>70000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f t="shared" ref="O21:O32" si="3">SUM(B21:N21)</f>
        <v>70000</v>
      </c>
      <c r="P21" s="8">
        <v>0</v>
      </c>
      <c r="Q21" s="8">
        <v>0</v>
      </c>
    </row>
    <row r="22" spans="1:26" ht="14.25" customHeight="1">
      <c r="A22" s="4" t="s">
        <v>38</v>
      </c>
      <c r="B22" s="8">
        <v>140000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 t="shared" si="3"/>
        <v>140000</v>
      </c>
      <c r="P22" s="8">
        <v>0</v>
      </c>
      <c r="Q22" s="8">
        <v>0</v>
      </c>
    </row>
    <row r="23" spans="1:26" ht="14.25" customHeight="1">
      <c r="A23" s="4" t="s">
        <v>40</v>
      </c>
      <c r="B23" s="8">
        <v>30000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f t="shared" si="3"/>
        <v>30000</v>
      </c>
      <c r="P23" s="8">
        <v>0</v>
      </c>
      <c r="Q23" s="8">
        <v>0</v>
      </c>
    </row>
    <row r="24" spans="1:26" ht="14.25" customHeight="1">
      <c r="A24" s="4" t="s">
        <v>42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f t="shared" si="3"/>
        <v>0</v>
      </c>
      <c r="P24" s="8">
        <v>90000</v>
      </c>
      <c r="Q24" s="8">
        <v>0</v>
      </c>
    </row>
    <row r="25" spans="1:26" ht="28.5" customHeight="1">
      <c r="A25" s="4" t="s">
        <v>55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f t="shared" si="3"/>
        <v>0</v>
      </c>
      <c r="P25" s="8">
        <v>70000</v>
      </c>
      <c r="Q25" s="8">
        <v>0</v>
      </c>
    </row>
    <row r="26" spans="1:26" ht="14.25" customHeight="1">
      <c r="A26" s="4" t="s">
        <v>59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f t="shared" si="3"/>
        <v>0</v>
      </c>
      <c r="P26" s="8">
        <v>0</v>
      </c>
      <c r="Q26" s="8">
        <v>150000</v>
      </c>
    </row>
    <row r="27" spans="1:26" ht="14.25" customHeight="1">
      <c r="A27" s="4" t="s">
        <v>60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f t="shared" si="3"/>
        <v>0</v>
      </c>
      <c r="P27" s="8">
        <v>100000</v>
      </c>
      <c r="Q27" s="8">
        <v>0</v>
      </c>
    </row>
    <row r="28" spans="1:26" ht="14.25" customHeight="1">
      <c r="A28" s="4" t="s">
        <v>61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f t="shared" si="3"/>
        <v>0</v>
      </c>
      <c r="P28" s="8">
        <v>0</v>
      </c>
      <c r="Q28" s="8">
        <v>140000</v>
      </c>
    </row>
    <row r="29" spans="1:26" ht="28.5" customHeight="1">
      <c r="A29" s="4" t="s">
        <v>62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f t="shared" si="3"/>
        <v>0</v>
      </c>
      <c r="P29" s="8">
        <v>0</v>
      </c>
      <c r="Q29" s="8">
        <v>300000</v>
      </c>
    </row>
    <row r="30" spans="1:26" ht="14.25" customHeight="1">
      <c r="A30" s="4" t="s">
        <v>64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10000</v>
      </c>
      <c r="L30" s="8">
        <v>0</v>
      </c>
      <c r="M30" s="8">
        <v>0</v>
      </c>
      <c r="N30" s="8">
        <v>0</v>
      </c>
      <c r="O30" s="8">
        <f t="shared" si="3"/>
        <v>10000</v>
      </c>
      <c r="P30" s="8">
        <v>0</v>
      </c>
      <c r="Q30" s="8">
        <v>100000</v>
      </c>
    </row>
    <row r="31" spans="1:26" ht="14.4">
      <c r="A31" s="4" t="s">
        <v>66</v>
      </c>
      <c r="B31" s="8">
        <v>24000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f t="shared" si="3"/>
        <v>24000</v>
      </c>
      <c r="P31" s="8">
        <v>16000</v>
      </c>
      <c r="Q31" s="8">
        <v>30000</v>
      </c>
    </row>
    <row r="32" spans="1:26" ht="14.4">
      <c r="A32" s="11" t="s">
        <v>32</v>
      </c>
      <c r="B32" s="13">
        <f t="shared" ref="B32:N32" si="4">SUM(B21:B31)</f>
        <v>264000</v>
      </c>
      <c r="C32" s="13">
        <f t="shared" si="4"/>
        <v>0</v>
      </c>
      <c r="D32" s="13">
        <f t="shared" si="4"/>
        <v>0</v>
      </c>
      <c r="E32" s="13">
        <f t="shared" si="4"/>
        <v>0</v>
      </c>
      <c r="F32" s="13">
        <f t="shared" si="4"/>
        <v>0</v>
      </c>
      <c r="G32" s="13">
        <f t="shared" si="4"/>
        <v>0</v>
      </c>
      <c r="H32" s="13">
        <f t="shared" si="4"/>
        <v>0</v>
      </c>
      <c r="I32" s="13">
        <f t="shared" si="4"/>
        <v>0</v>
      </c>
      <c r="J32" s="13">
        <f t="shared" si="4"/>
        <v>0</v>
      </c>
      <c r="K32" s="13">
        <f t="shared" si="4"/>
        <v>10000</v>
      </c>
      <c r="L32" s="13">
        <f t="shared" si="4"/>
        <v>0</v>
      </c>
      <c r="M32" s="13">
        <f t="shared" si="4"/>
        <v>0</v>
      </c>
      <c r="N32" s="13">
        <f t="shared" si="4"/>
        <v>0</v>
      </c>
      <c r="O32" s="14">
        <f t="shared" si="3"/>
        <v>274000</v>
      </c>
      <c r="P32" s="13">
        <f t="shared" ref="P32:Q32" si="5">SUM(P21:P31)</f>
        <v>276000</v>
      </c>
      <c r="Q32" s="17">
        <f t="shared" si="5"/>
        <v>720000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 r:id="rId1"/>
  <headerFooter>
    <oddHeader>&amp;CFinanzplan - Investitionen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B10" sqref="B10"/>
    </sheetView>
  </sheetViews>
  <sheetFormatPr baseColWidth="10" defaultColWidth="14.44140625" defaultRowHeight="15" customHeight="1"/>
  <cols>
    <col min="1" max="1" width="39.88671875" customWidth="1"/>
    <col min="2" max="16" width="11.6640625" customWidth="1"/>
    <col min="17" max="17" width="9.5546875" customWidth="1"/>
    <col min="18" max="22" width="11" customWidth="1"/>
    <col min="23" max="26" width="10" customWidth="1"/>
  </cols>
  <sheetData>
    <row r="1" spans="1:26" ht="17.25" customHeight="1">
      <c r="A1" s="15" t="s">
        <v>301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19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6">
      <c r="A3" s="3" t="s">
        <v>36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hidden="1" customHeight="1">
      <c r="A4" s="4" t="s">
        <v>37</v>
      </c>
      <c r="B4" s="21"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hidden="1" customHeight="1">
      <c r="A5" s="4" t="s">
        <v>41</v>
      </c>
      <c r="B5" s="21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4.25" customHeight="1">
      <c r="A6" s="4" t="s">
        <v>43</v>
      </c>
      <c r="B6" s="21">
        <v>0.01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>
      <c r="A7" s="4" t="s">
        <v>48</v>
      </c>
      <c r="B7" s="21">
        <v>0.05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.75" customHeight="1">
      <c r="A8" s="19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6">
      <c r="A9" s="24" t="s">
        <v>58</v>
      </c>
      <c r="B9" s="1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6"/>
      <c r="T9" s="16"/>
      <c r="U9" s="16"/>
      <c r="V9" s="16"/>
      <c r="W9" s="16"/>
      <c r="X9" s="16"/>
      <c r="Y9" s="16"/>
      <c r="Z9" s="16"/>
    </row>
    <row r="10" spans="1:26" ht="14.25" customHeight="1">
      <c r="A10" s="4" t="s">
        <v>63</v>
      </c>
      <c r="B10" s="29">
        <f>Investments!B17+Investments!B32</f>
        <v>291500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6"/>
      <c r="T10" s="16"/>
      <c r="U10" s="16"/>
      <c r="V10" s="16"/>
      <c r="W10" s="16"/>
      <c r="X10" s="16"/>
      <c r="Y10" s="16"/>
      <c r="Z10" s="16"/>
    </row>
    <row r="11" spans="1:26" ht="14.25" customHeight="1">
      <c r="A11" s="4" t="s">
        <v>67</v>
      </c>
      <c r="B11" s="29">
        <v>40000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6"/>
      <c r="T11" s="16"/>
      <c r="U11" s="16"/>
      <c r="V11" s="16"/>
      <c r="W11" s="16"/>
      <c r="X11" s="16"/>
      <c r="Y11" s="16"/>
      <c r="Z11" s="16"/>
    </row>
    <row r="12" spans="1:26" ht="14.25" customHeight="1">
      <c r="A12" s="4" t="s">
        <v>68</v>
      </c>
      <c r="B12" s="29">
        <f>B10+B11</f>
        <v>331500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6"/>
      <c r="T12" s="16"/>
      <c r="U12" s="16"/>
      <c r="V12" s="16"/>
      <c r="W12" s="16"/>
      <c r="X12" s="16"/>
      <c r="Y12" s="16"/>
      <c r="Z12" s="16"/>
    </row>
    <row r="13" spans="1:26" ht="14.25" customHeight="1">
      <c r="A13" s="32" t="s">
        <v>69</v>
      </c>
      <c r="B13" s="29">
        <v>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16"/>
      <c r="T13" s="16"/>
      <c r="U13" s="16"/>
      <c r="V13" s="16"/>
      <c r="W13" s="16"/>
      <c r="X13" s="16"/>
      <c r="Y13" s="16"/>
      <c r="Z13" s="16"/>
    </row>
    <row r="14" spans="1:26" ht="14.25" customHeight="1">
      <c r="A14" s="4" t="s">
        <v>70</v>
      </c>
      <c r="B14" s="29">
        <f>B20-B12-B13+B21</f>
        <v>53500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6"/>
      <c r="T14" s="16"/>
      <c r="U14" s="16"/>
      <c r="V14" s="16"/>
      <c r="W14" s="16"/>
      <c r="X14" s="16"/>
      <c r="Y14" s="16"/>
      <c r="Z14" s="16"/>
    </row>
    <row r="15" spans="1:26" ht="14.25" customHeight="1">
      <c r="A15" s="4" t="s">
        <v>71</v>
      </c>
      <c r="B15" s="29">
        <f>B14+B13</f>
        <v>53500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16"/>
      <c r="T15" s="16"/>
      <c r="U15" s="16"/>
      <c r="V15" s="16"/>
      <c r="W15" s="16"/>
      <c r="X15" s="16"/>
      <c r="Y15" s="16"/>
      <c r="Z15" s="16"/>
    </row>
    <row r="16" spans="1:26" ht="14.25" customHeight="1">
      <c r="A16" s="36" t="s">
        <v>73</v>
      </c>
      <c r="B16" s="37">
        <f>B12+B15</f>
        <v>385000</v>
      </c>
      <c r="C16" s="26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26"/>
      <c r="S16" s="16"/>
      <c r="T16" s="16"/>
      <c r="U16" s="16"/>
      <c r="V16" s="16"/>
      <c r="W16" s="16"/>
      <c r="X16" s="16"/>
      <c r="Y16" s="16"/>
      <c r="Z16" s="16"/>
    </row>
    <row r="17" spans="1:26" ht="14.25" customHeight="1">
      <c r="A17" s="4" t="s">
        <v>75</v>
      </c>
      <c r="B17" s="29">
        <v>80000</v>
      </c>
      <c r="C17" s="26"/>
      <c r="D17" s="38" t="s">
        <v>76</v>
      </c>
      <c r="E17" s="39">
        <v>0.1</v>
      </c>
      <c r="F17" s="39">
        <v>0.11</v>
      </c>
      <c r="G17" s="39">
        <v>0.12</v>
      </c>
      <c r="H17" s="39">
        <v>0.09</v>
      </c>
      <c r="I17" s="39">
        <v>7.0000000000000007E-2</v>
      </c>
      <c r="J17" s="39">
        <v>0.05</v>
      </c>
      <c r="K17" s="39">
        <v>0.04</v>
      </c>
      <c r="L17" s="39">
        <v>0.04</v>
      </c>
      <c r="M17" s="39">
        <v>0.05</v>
      </c>
      <c r="N17" s="39">
        <v>7.0000000000000007E-2</v>
      </c>
      <c r="O17" s="39">
        <v>0.13</v>
      </c>
      <c r="P17" s="39">
        <v>0.13</v>
      </c>
      <c r="Q17" s="39">
        <f>SUM(E17:P17)</f>
        <v>1.0000000000000002</v>
      </c>
      <c r="R17" s="26"/>
      <c r="S17" s="16"/>
      <c r="T17" s="16"/>
      <c r="U17" s="16"/>
      <c r="V17" s="16"/>
      <c r="W17" s="16"/>
      <c r="X17" s="16"/>
      <c r="Y17" s="16"/>
      <c r="Z17" s="16"/>
    </row>
    <row r="18" spans="1:26" ht="14.25" customHeight="1">
      <c r="A18" s="4" t="s">
        <v>77</v>
      </c>
      <c r="B18" s="29">
        <v>5000</v>
      </c>
      <c r="C18" s="26"/>
      <c r="D18" s="38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26"/>
      <c r="S18" s="16"/>
      <c r="T18" s="16"/>
      <c r="U18" s="16"/>
      <c r="V18" s="16"/>
      <c r="W18" s="16"/>
      <c r="X18" s="16"/>
      <c r="Y18" s="16"/>
      <c r="Z18" s="16"/>
    </row>
    <row r="19" spans="1:26" ht="14.25" customHeight="1">
      <c r="A19" s="4" t="s">
        <v>78</v>
      </c>
      <c r="B19" s="29">
        <v>300000</v>
      </c>
      <c r="C19" s="26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2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4" t="s">
        <v>79</v>
      </c>
      <c r="B20" s="29">
        <f>B18+B17+B19</f>
        <v>385000</v>
      </c>
      <c r="C20" s="26"/>
      <c r="D20" s="40"/>
      <c r="E20" s="39">
        <v>0.12</v>
      </c>
      <c r="F20" s="39">
        <v>0.12</v>
      </c>
      <c r="G20" s="39">
        <v>0.12</v>
      </c>
      <c r="H20" s="39">
        <v>0.1</v>
      </c>
      <c r="I20" s="39">
        <v>7.0000000000000007E-2</v>
      </c>
      <c r="J20" s="39">
        <v>0.05</v>
      </c>
      <c r="K20" s="39">
        <v>0.04</v>
      </c>
      <c r="L20" s="39">
        <v>0.04</v>
      </c>
      <c r="M20" s="39">
        <v>0.05</v>
      </c>
      <c r="N20" s="39">
        <v>0.06</v>
      </c>
      <c r="O20" s="39">
        <v>0.11</v>
      </c>
      <c r="P20" s="39">
        <v>0.12</v>
      </c>
      <c r="Q20" s="39">
        <f>SUM(E20:P20)</f>
        <v>1.0000000000000002</v>
      </c>
      <c r="R20" s="26"/>
      <c r="S20" s="16"/>
      <c r="T20" s="16"/>
      <c r="U20" s="16"/>
      <c r="V20" s="16"/>
      <c r="W20" s="16"/>
      <c r="X20" s="16"/>
      <c r="Y20" s="16"/>
      <c r="Z20" s="16"/>
    </row>
    <row r="21" spans="1:26" ht="14.4">
      <c r="A21" s="4" t="s">
        <v>81</v>
      </c>
      <c r="B21" s="41">
        <v>0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>
      <c r="A22" s="42" t="s">
        <v>82</v>
      </c>
      <c r="B22" s="37">
        <f>B20+B21</f>
        <v>385000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26"/>
      <c r="O22" s="26"/>
      <c r="P22" s="26"/>
      <c r="Q22" s="26"/>
      <c r="R22" s="26"/>
      <c r="S22" s="16"/>
      <c r="T22" s="16"/>
      <c r="U22" s="16"/>
      <c r="V22" s="16"/>
      <c r="W22" s="16"/>
      <c r="X22" s="16"/>
      <c r="Y22" s="16"/>
      <c r="Z22" s="16"/>
    </row>
    <row r="23" spans="1:26" ht="24.75" customHeight="1">
      <c r="A23" s="19"/>
      <c r="B23" s="1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6">
      <c r="A24" s="3" t="s">
        <v>84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38"/>
      <c r="P24" s="38"/>
      <c r="Q24" s="2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4.25" customHeight="1">
      <c r="A25" s="16"/>
      <c r="B25" s="101" t="s">
        <v>85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3"/>
      <c r="O25" s="38"/>
      <c r="P25" s="38"/>
      <c r="Q25" s="2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4.25" customHeight="1">
      <c r="A26" s="19"/>
      <c r="B26" s="5" t="s">
        <v>2</v>
      </c>
      <c r="C26" s="6" t="s">
        <v>3</v>
      </c>
      <c r="D26" s="6" t="s">
        <v>4</v>
      </c>
      <c r="E26" s="5" t="s">
        <v>5</v>
      </c>
      <c r="F26" s="6" t="s">
        <v>6</v>
      </c>
      <c r="G26" s="6" t="s">
        <v>7</v>
      </c>
      <c r="H26" s="5" t="s">
        <v>8</v>
      </c>
      <c r="I26" s="6" t="s">
        <v>9</v>
      </c>
      <c r="J26" s="6" t="s">
        <v>10</v>
      </c>
      <c r="K26" s="5" t="s">
        <v>11</v>
      </c>
      <c r="L26" s="6" t="s">
        <v>12</v>
      </c>
      <c r="M26" s="6" t="s">
        <v>13</v>
      </c>
      <c r="N26" s="7" t="s">
        <v>14</v>
      </c>
      <c r="O26" s="43" t="s">
        <v>87</v>
      </c>
      <c r="P26" s="38" t="s">
        <v>89</v>
      </c>
      <c r="Q26" s="2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>
      <c r="A27" s="4" t="s">
        <v>90</v>
      </c>
      <c r="B27" s="29">
        <f t="shared" ref="B27:M27" si="0">B43</f>
        <v>20000</v>
      </c>
      <c r="C27" s="29">
        <f t="shared" si="0"/>
        <v>22000</v>
      </c>
      <c r="D27" s="29">
        <f t="shared" si="0"/>
        <v>24000</v>
      </c>
      <c r="E27" s="29">
        <f t="shared" si="0"/>
        <v>18000</v>
      </c>
      <c r="F27" s="29">
        <f t="shared" si="0"/>
        <v>14000.000000000002</v>
      </c>
      <c r="G27" s="29">
        <f t="shared" si="0"/>
        <v>10000</v>
      </c>
      <c r="H27" s="29">
        <f t="shared" si="0"/>
        <v>8000</v>
      </c>
      <c r="I27" s="29">
        <f t="shared" si="0"/>
        <v>8000</v>
      </c>
      <c r="J27" s="29">
        <f t="shared" si="0"/>
        <v>10000</v>
      </c>
      <c r="K27" s="29">
        <f t="shared" si="0"/>
        <v>14000.000000000002</v>
      </c>
      <c r="L27" s="29">
        <f t="shared" si="0"/>
        <v>26000</v>
      </c>
      <c r="M27" s="29">
        <f t="shared" si="0"/>
        <v>26000</v>
      </c>
      <c r="N27" s="29">
        <f>SUM(B27:M27)</f>
        <v>200000</v>
      </c>
      <c r="O27" s="44">
        <f>N33</f>
        <v>300000</v>
      </c>
      <c r="P27" s="40">
        <f>N39</f>
        <v>400000</v>
      </c>
      <c r="Q27" s="2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4.25" hidden="1" customHeight="1">
      <c r="A28" s="32" t="s">
        <v>92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45">
        <v>0</v>
      </c>
      <c r="O28" s="44">
        <v>0</v>
      </c>
      <c r="P28" s="40">
        <v>0</v>
      </c>
      <c r="Q28" s="2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4.25" customHeight="1">
      <c r="A29" s="4" t="s">
        <v>93</v>
      </c>
      <c r="B29" s="29">
        <f t="shared" ref="B29:P29" si="1">SUM(B27:B28)</f>
        <v>20000</v>
      </c>
      <c r="C29" s="29">
        <f t="shared" si="1"/>
        <v>22000</v>
      </c>
      <c r="D29" s="29">
        <f t="shared" si="1"/>
        <v>24000</v>
      </c>
      <c r="E29" s="29">
        <f t="shared" si="1"/>
        <v>18000</v>
      </c>
      <c r="F29" s="29">
        <f t="shared" si="1"/>
        <v>14000.000000000002</v>
      </c>
      <c r="G29" s="29">
        <f t="shared" si="1"/>
        <v>10000</v>
      </c>
      <c r="H29" s="29">
        <f t="shared" si="1"/>
        <v>8000</v>
      </c>
      <c r="I29" s="29">
        <f t="shared" si="1"/>
        <v>8000</v>
      </c>
      <c r="J29" s="29">
        <f t="shared" si="1"/>
        <v>10000</v>
      </c>
      <c r="K29" s="29">
        <f t="shared" si="1"/>
        <v>14000.000000000002</v>
      </c>
      <c r="L29" s="29">
        <f t="shared" si="1"/>
        <v>26000</v>
      </c>
      <c r="M29" s="29">
        <f t="shared" si="1"/>
        <v>26000</v>
      </c>
      <c r="N29" s="45">
        <f t="shared" si="1"/>
        <v>200000</v>
      </c>
      <c r="O29" s="44">
        <f t="shared" si="1"/>
        <v>300000</v>
      </c>
      <c r="P29" s="40">
        <f t="shared" si="1"/>
        <v>400000</v>
      </c>
      <c r="Q29" s="26"/>
      <c r="R29" s="16"/>
      <c r="S29" s="40">
        <f t="shared" ref="S29:U29" si="2">N203</f>
        <v>93777.011115561967</v>
      </c>
      <c r="T29" s="40">
        <f t="shared" si="2"/>
        <v>131122.42338891112</v>
      </c>
      <c r="U29" s="40">
        <f t="shared" si="2"/>
        <v>147978.56917252234</v>
      </c>
      <c r="V29" s="16"/>
      <c r="W29" s="16"/>
      <c r="X29" s="16"/>
      <c r="Y29" s="16"/>
      <c r="Z29" s="16"/>
    </row>
    <row r="30" spans="1:26" ht="14.25" customHeight="1">
      <c r="A30" s="19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0"/>
      <c r="P30" s="40"/>
      <c r="Q30" s="26"/>
      <c r="R30" s="16"/>
      <c r="S30" s="40"/>
      <c r="T30" s="40"/>
      <c r="U30" s="40"/>
      <c r="V30" s="16"/>
      <c r="W30" s="16"/>
      <c r="X30" s="16"/>
      <c r="Y30" s="16"/>
      <c r="Z30" s="16"/>
    </row>
    <row r="31" spans="1:26" ht="14.25" customHeight="1">
      <c r="A31" s="16"/>
      <c r="B31" s="101" t="s">
        <v>87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  <c r="O31" s="40"/>
      <c r="P31" s="40"/>
      <c r="Q31" s="16"/>
      <c r="R31" s="16"/>
      <c r="S31" s="40"/>
      <c r="T31" s="40"/>
      <c r="U31" s="40"/>
      <c r="V31" s="16"/>
      <c r="W31" s="16"/>
      <c r="X31" s="16"/>
      <c r="Y31" s="16"/>
      <c r="Z31" s="16"/>
    </row>
    <row r="32" spans="1:26" ht="14.25" customHeight="1">
      <c r="A32" s="19"/>
      <c r="B32" s="5" t="s">
        <v>2</v>
      </c>
      <c r="C32" s="6" t="s">
        <v>3</v>
      </c>
      <c r="D32" s="6" t="s">
        <v>4</v>
      </c>
      <c r="E32" s="5" t="s">
        <v>5</v>
      </c>
      <c r="F32" s="6" t="s">
        <v>6</v>
      </c>
      <c r="G32" s="6" t="s">
        <v>7</v>
      </c>
      <c r="H32" s="5" t="s">
        <v>8</v>
      </c>
      <c r="I32" s="6" t="s">
        <v>9</v>
      </c>
      <c r="J32" s="6" t="s">
        <v>10</v>
      </c>
      <c r="K32" s="5" t="s">
        <v>11</v>
      </c>
      <c r="L32" s="6" t="s">
        <v>12</v>
      </c>
      <c r="M32" s="6" t="s">
        <v>13</v>
      </c>
      <c r="N32" s="7" t="s">
        <v>15</v>
      </c>
      <c r="O32" s="40"/>
      <c r="P32" s="40"/>
      <c r="Q32" s="16"/>
      <c r="R32" s="16"/>
      <c r="S32" s="40"/>
      <c r="T32" s="40"/>
      <c r="U32" s="40"/>
      <c r="V32" s="16"/>
      <c r="W32" s="16"/>
      <c r="X32" s="16"/>
      <c r="Y32" s="16"/>
      <c r="Z32" s="16"/>
    </row>
    <row r="33" spans="1:26" ht="14.25" customHeight="1">
      <c r="A33" s="4" t="s">
        <v>90</v>
      </c>
      <c r="B33" s="29">
        <f t="shared" ref="B33:M33" si="3">B44</f>
        <v>36000</v>
      </c>
      <c r="C33" s="29">
        <f t="shared" si="3"/>
        <v>36000</v>
      </c>
      <c r="D33" s="29">
        <f t="shared" si="3"/>
        <v>36000</v>
      </c>
      <c r="E33" s="29">
        <f t="shared" si="3"/>
        <v>30000</v>
      </c>
      <c r="F33" s="29">
        <f t="shared" si="3"/>
        <v>21000.000000000004</v>
      </c>
      <c r="G33" s="29">
        <f t="shared" si="3"/>
        <v>15000</v>
      </c>
      <c r="H33" s="29">
        <f t="shared" si="3"/>
        <v>12000</v>
      </c>
      <c r="I33" s="29">
        <f t="shared" si="3"/>
        <v>12000</v>
      </c>
      <c r="J33" s="29">
        <f t="shared" si="3"/>
        <v>15000</v>
      </c>
      <c r="K33" s="29">
        <f t="shared" si="3"/>
        <v>18000</v>
      </c>
      <c r="L33" s="29">
        <f t="shared" si="3"/>
        <v>33000</v>
      </c>
      <c r="M33" s="29">
        <f t="shared" si="3"/>
        <v>36000</v>
      </c>
      <c r="N33" s="29">
        <f>SUM(B33:M33)</f>
        <v>300000</v>
      </c>
      <c r="O33" s="40"/>
      <c r="P33" s="40"/>
      <c r="Q33" s="16"/>
      <c r="R33" s="16"/>
      <c r="S33" s="40"/>
      <c r="T33" s="40"/>
      <c r="U33" s="40"/>
      <c r="V33" s="16"/>
      <c r="W33" s="16"/>
      <c r="X33" s="16"/>
      <c r="Y33" s="16"/>
      <c r="Z33" s="16"/>
    </row>
    <row r="34" spans="1:26" ht="14.25" hidden="1" customHeight="1">
      <c r="A34" s="32" t="s">
        <v>92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48"/>
      <c r="P34" s="48"/>
      <c r="Q34" s="16"/>
      <c r="R34" s="16"/>
      <c r="S34" s="40"/>
      <c r="T34" s="40"/>
      <c r="U34" s="40"/>
      <c r="V34" s="16"/>
      <c r="W34" s="16"/>
      <c r="X34" s="16"/>
      <c r="Y34" s="16"/>
      <c r="Z34" s="16"/>
    </row>
    <row r="35" spans="1:26" ht="14.25" customHeight="1">
      <c r="A35" s="4" t="s">
        <v>93</v>
      </c>
      <c r="B35" s="29">
        <f t="shared" ref="B35:N35" si="4">SUM(B33:B34)</f>
        <v>36000</v>
      </c>
      <c r="C35" s="29">
        <f t="shared" si="4"/>
        <v>36000</v>
      </c>
      <c r="D35" s="29">
        <f t="shared" si="4"/>
        <v>36000</v>
      </c>
      <c r="E35" s="29">
        <f t="shared" si="4"/>
        <v>30000</v>
      </c>
      <c r="F35" s="29">
        <f t="shared" si="4"/>
        <v>21000.000000000004</v>
      </c>
      <c r="G35" s="29">
        <f t="shared" si="4"/>
        <v>15000</v>
      </c>
      <c r="H35" s="29">
        <f t="shared" si="4"/>
        <v>12000</v>
      </c>
      <c r="I35" s="29">
        <f t="shared" si="4"/>
        <v>12000</v>
      </c>
      <c r="J35" s="29">
        <f t="shared" si="4"/>
        <v>15000</v>
      </c>
      <c r="K35" s="29">
        <f t="shared" si="4"/>
        <v>18000</v>
      </c>
      <c r="L35" s="29">
        <f t="shared" si="4"/>
        <v>33000</v>
      </c>
      <c r="M35" s="29">
        <f t="shared" si="4"/>
        <v>36000</v>
      </c>
      <c r="N35" s="29">
        <f t="shared" si="4"/>
        <v>300000</v>
      </c>
      <c r="O35" s="48"/>
      <c r="P35" s="48"/>
      <c r="Q35" s="16"/>
      <c r="R35" s="16"/>
      <c r="S35" s="40"/>
      <c r="T35" s="40"/>
      <c r="U35" s="40"/>
      <c r="V35" s="16"/>
      <c r="W35" s="16"/>
      <c r="X35" s="16"/>
      <c r="Y35" s="16"/>
      <c r="Z35" s="16"/>
    </row>
    <row r="36" spans="1:26" ht="14.25" customHeight="1">
      <c r="A36" s="19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16"/>
      <c r="R36" s="16"/>
      <c r="S36" s="40"/>
      <c r="T36" s="40"/>
      <c r="U36" s="40"/>
      <c r="V36" s="16"/>
      <c r="W36" s="16"/>
      <c r="X36" s="16"/>
      <c r="Y36" s="16"/>
      <c r="Z36" s="16"/>
    </row>
    <row r="37" spans="1:26" ht="14.25" customHeight="1">
      <c r="A37" s="16"/>
      <c r="B37" s="101" t="s">
        <v>89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3"/>
      <c r="O37" s="48"/>
      <c r="P37" s="48"/>
      <c r="Q37" s="16"/>
      <c r="R37" s="16"/>
      <c r="S37" s="40"/>
      <c r="T37" s="40"/>
      <c r="U37" s="40"/>
      <c r="V37" s="16"/>
      <c r="W37" s="16"/>
      <c r="X37" s="16"/>
      <c r="Y37" s="16"/>
      <c r="Z37" s="16"/>
    </row>
    <row r="38" spans="1:26" ht="14.25" customHeight="1">
      <c r="A38" s="19"/>
      <c r="B38" s="5" t="s">
        <v>2</v>
      </c>
      <c r="C38" s="6" t="s">
        <v>3</v>
      </c>
      <c r="D38" s="6" t="s">
        <v>4</v>
      </c>
      <c r="E38" s="5" t="s">
        <v>5</v>
      </c>
      <c r="F38" s="6" t="s">
        <v>6</v>
      </c>
      <c r="G38" s="6" t="s">
        <v>7</v>
      </c>
      <c r="H38" s="5" t="s">
        <v>8</v>
      </c>
      <c r="I38" s="6" t="s">
        <v>9</v>
      </c>
      <c r="J38" s="6" t="s">
        <v>10</v>
      </c>
      <c r="K38" s="5" t="s">
        <v>11</v>
      </c>
      <c r="L38" s="6" t="s">
        <v>12</v>
      </c>
      <c r="M38" s="6" t="s">
        <v>13</v>
      </c>
      <c r="N38" s="7" t="s">
        <v>16</v>
      </c>
      <c r="O38" s="48"/>
      <c r="P38" s="48"/>
      <c r="Q38" s="16"/>
      <c r="R38" s="16"/>
      <c r="S38" s="40"/>
      <c r="T38" s="40"/>
      <c r="U38" s="40"/>
      <c r="V38" s="16"/>
      <c r="W38" s="16"/>
      <c r="X38" s="16"/>
      <c r="Y38" s="16"/>
      <c r="Z38" s="16"/>
    </row>
    <row r="39" spans="1:26" ht="14.25" customHeight="1">
      <c r="A39" s="4" t="s">
        <v>90</v>
      </c>
      <c r="B39" s="29">
        <f t="shared" ref="B39:M39" si="5">B45</f>
        <v>48000</v>
      </c>
      <c r="C39" s="29">
        <f t="shared" si="5"/>
        <v>48000</v>
      </c>
      <c r="D39" s="29">
        <f t="shared" si="5"/>
        <v>48000</v>
      </c>
      <c r="E39" s="29">
        <f t="shared" si="5"/>
        <v>40000</v>
      </c>
      <c r="F39" s="29">
        <f t="shared" si="5"/>
        <v>28000.000000000004</v>
      </c>
      <c r="G39" s="29">
        <f t="shared" si="5"/>
        <v>20000</v>
      </c>
      <c r="H39" s="29">
        <f t="shared" si="5"/>
        <v>16000</v>
      </c>
      <c r="I39" s="29">
        <f t="shared" si="5"/>
        <v>16000</v>
      </c>
      <c r="J39" s="29">
        <f t="shared" si="5"/>
        <v>20000</v>
      </c>
      <c r="K39" s="29">
        <f t="shared" si="5"/>
        <v>24000</v>
      </c>
      <c r="L39" s="29">
        <f t="shared" si="5"/>
        <v>44000</v>
      </c>
      <c r="M39" s="29">
        <f t="shared" si="5"/>
        <v>48000</v>
      </c>
      <c r="N39" s="29">
        <f>SUM(B39:M39)</f>
        <v>400000</v>
      </c>
      <c r="O39" s="48"/>
      <c r="P39" s="54"/>
      <c r="Q39" s="16"/>
      <c r="R39" s="16"/>
      <c r="S39" s="40"/>
      <c r="T39" s="40"/>
      <c r="U39" s="40"/>
      <c r="V39" s="16"/>
      <c r="W39" s="16"/>
      <c r="X39" s="16"/>
      <c r="Y39" s="16"/>
      <c r="Z39" s="16"/>
    </row>
    <row r="40" spans="1:26" ht="14.25" hidden="1" customHeight="1">
      <c r="A40" s="32" t="s">
        <v>92</v>
      </c>
      <c r="B40" s="29">
        <v>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48"/>
      <c r="P40" s="48"/>
      <c r="Q40" s="16"/>
      <c r="R40" s="16"/>
      <c r="S40" s="40"/>
      <c r="T40" s="40"/>
      <c r="U40" s="40"/>
      <c r="V40" s="16"/>
      <c r="W40" s="16"/>
      <c r="X40" s="16"/>
      <c r="Y40" s="16"/>
      <c r="Z40" s="16"/>
    </row>
    <row r="41" spans="1:26" ht="14.25" customHeight="1">
      <c r="A41" s="4" t="s">
        <v>93</v>
      </c>
      <c r="B41" s="29">
        <f t="shared" ref="B41:N41" si="6">SUM(B39:B40)</f>
        <v>48000</v>
      </c>
      <c r="C41" s="29">
        <f t="shared" si="6"/>
        <v>48000</v>
      </c>
      <c r="D41" s="29">
        <f t="shared" si="6"/>
        <v>48000</v>
      </c>
      <c r="E41" s="29">
        <f t="shared" si="6"/>
        <v>40000</v>
      </c>
      <c r="F41" s="29">
        <f t="shared" si="6"/>
        <v>28000.000000000004</v>
      </c>
      <c r="G41" s="29">
        <f t="shared" si="6"/>
        <v>20000</v>
      </c>
      <c r="H41" s="29">
        <f t="shared" si="6"/>
        <v>16000</v>
      </c>
      <c r="I41" s="29">
        <f t="shared" si="6"/>
        <v>16000</v>
      </c>
      <c r="J41" s="29">
        <f t="shared" si="6"/>
        <v>20000</v>
      </c>
      <c r="K41" s="29">
        <f t="shared" si="6"/>
        <v>24000</v>
      </c>
      <c r="L41" s="29">
        <f t="shared" si="6"/>
        <v>44000</v>
      </c>
      <c r="M41" s="29">
        <f t="shared" si="6"/>
        <v>48000</v>
      </c>
      <c r="N41" s="29">
        <f t="shared" si="6"/>
        <v>400000</v>
      </c>
      <c r="O41" s="48"/>
      <c r="P41" s="48"/>
      <c r="Q41" s="16"/>
      <c r="R41" s="16"/>
      <c r="S41" s="40"/>
      <c r="T41" s="40"/>
      <c r="U41" s="40"/>
      <c r="V41" s="16"/>
      <c r="W41" s="16"/>
      <c r="X41" s="16"/>
      <c r="Y41" s="16"/>
      <c r="Z41" s="16"/>
    </row>
    <row r="42" spans="1:26" ht="14.25" hidden="1" customHeight="1">
      <c r="A42" s="56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8"/>
      <c r="P42" s="48"/>
      <c r="Q42" s="16"/>
      <c r="R42" s="16"/>
      <c r="S42" s="40"/>
      <c r="T42" s="40"/>
      <c r="U42" s="40"/>
      <c r="V42" s="16"/>
      <c r="W42" s="16"/>
      <c r="X42" s="16"/>
      <c r="Y42" s="16"/>
      <c r="Z42" s="16"/>
    </row>
    <row r="43" spans="1:26" ht="14.25" hidden="1" customHeight="1">
      <c r="A43" s="56" t="s">
        <v>96</v>
      </c>
      <c r="B43" s="34">
        <f t="shared" ref="B43:M43" si="7">E17*$N$43</f>
        <v>20000</v>
      </c>
      <c r="C43" s="34">
        <f t="shared" si="7"/>
        <v>22000</v>
      </c>
      <c r="D43" s="34">
        <f t="shared" si="7"/>
        <v>24000</v>
      </c>
      <c r="E43" s="34">
        <f t="shared" si="7"/>
        <v>18000</v>
      </c>
      <c r="F43" s="34">
        <f t="shared" si="7"/>
        <v>14000.000000000002</v>
      </c>
      <c r="G43" s="34">
        <f t="shared" si="7"/>
        <v>10000</v>
      </c>
      <c r="H43" s="34">
        <f t="shared" si="7"/>
        <v>8000</v>
      </c>
      <c r="I43" s="34">
        <f t="shared" si="7"/>
        <v>8000</v>
      </c>
      <c r="J43" s="34">
        <f t="shared" si="7"/>
        <v>10000</v>
      </c>
      <c r="K43" s="34">
        <f t="shared" si="7"/>
        <v>14000.000000000002</v>
      </c>
      <c r="L43" s="34">
        <f t="shared" si="7"/>
        <v>26000</v>
      </c>
      <c r="M43" s="34">
        <f t="shared" si="7"/>
        <v>26000</v>
      </c>
      <c r="N43" s="34">
        <v>200000</v>
      </c>
      <c r="O43" s="48"/>
      <c r="P43" s="48"/>
      <c r="Q43" s="16"/>
      <c r="R43" s="38" t="s">
        <v>97</v>
      </c>
      <c r="S43" s="40">
        <f t="shared" ref="S43:S45" si="8">SUM(B43:M43)</f>
        <v>200000</v>
      </c>
      <c r="T43" s="40"/>
      <c r="U43" s="40"/>
      <c r="V43" s="16"/>
      <c r="W43" s="16"/>
      <c r="X43" s="16"/>
      <c r="Y43" s="16"/>
      <c r="Z43" s="16"/>
    </row>
    <row r="44" spans="1:26" ht="14.25" hidden="1" customHeight="1">
      <c r="A44" s="56"/>
      <c r="B44" s="34">
        <f t="shared" ref="B44:M44" si="9">E20*$N$44</f>
        <v>36000</v>
      </c>
      <c r="C44" s="34">
        <f t="shared" si="9"/>
        <v>36000</v>
      </c>
      <c r="D44" s="34">
        <f t="shared" si="9"/>
        <v>36000</v>
      </c>
      <c r="E44" s="34">
        <f t="shared" si="9"/>
        <v>30000</v>
      </c>
      <c r="F44" s="34">
        <f t="shared" si="9"/>
        <v>21000.000000000004</v>
      </c>
      <c r="G44" s="34">
        <f t="shared" si="9"/>
        <v>15000</v>
      </c>
      <c r="H44" s="34">
        <f t="shared" si="9"/>
        <v>12000</v>
      </c>
      <c r="I44" s="34">
        <f t="shared" si="9"/>
        <v>12000</v>
      </c>
      <c r="J44" s="34">
        <f t="shared" si="9"/>
        <v>15000</v>
      </c>
      <c r="K44" s="34">
        <f t="shared" si="9"/>
        <v>18000</v>
      </c>
      <c r="L44" s="34">
        <f t="shared" si="9"/>
        <v>33000</v>
      </c>
      <c r="M44" s="34">
        <f t="shared" si="9"/>
        <v>36000</v>
      </c>
      <c r="N44" s="34">
        <v>300000</v>
      </c>
      <c r="O44" s="48"/>
      <c r="P44" s="48"/>
      <c r="Q44" s="16"/>
      <c r="R44" s="16"/>
      <c r="S44" s="40">
        <f t="shared" si="8"/>
        <v>300000</v>
      </c>
      <c r="T44" s="40"/>
      <c r="U44" s="40"/>
      <c r="V44" s="16"/>
      <c r="W44" s="16"/>
      <c r="X44" s="16"/>
      <c r="Y44" s="16"/>
      <c r="Z44" s="16"/>
    </row>
    <row r="45" spans="1:26" ht="14.25" hidden="1" customHeight="1">
      <c r="A45" s="56"/>
      <c r="B45" s="34">
        <f t="shared" ref="B45:M45" si="10">E20*$N$45</f>
        <v>48000</v>
      </c>
      <c r="C45" s="34">
        <f t="shared" si="10"/>
        <v>48000</v>
      </c>
      <c r="D45" s="34">
        <f t="shared" si="10"/>
        <v>48000</v>
      </c>
      <c r="E45" s="34">
        <f t="shared" si="10"/>
        <v>40000</v>
      </c>
      <c r="F45" s="34">
        <f t="shared" si="10"/>
        <v>28000.000000000004</v>
      </c>
      <c r="G45" s="34">
        <f t="shared" si="10"/>
        <v>20000</v>
      </c>
      <c r="H45" s="34">
        <f t="shared" si="10"/>
        <v>16000</v>
      </c>
      <c r="I45" s="34">
        <f t="shared" si="10"/>
        <v>16000</v>
      </c>
      <c r="J45" s="34">
        <f t="shared" si="10"/>
        <v>20000</v>
      </c>
      <c r="K45" s="34">
        <f t="shared" si="10"/>
        <v>24000</v>
      </c>
      <c r="L45" s="34">
        <f t="shared" si="10"/>
        <v>44000</v>
      </c>
      <c r="M45" s="34">
        <f t="shared" si="10"/>
        <v>48000</v>
      </c>
      <c r="N45" s="34">
        <v>400000</v>
      </c>
      <c r="O45" s="48"/>
      <c r="P45" s="48"/>
      <c r="Q45" s="16"/>
      <c r="R45" s="16"/>
      <c r="S45" s="40">
        <f t="shared" si="8"/>
        <v>400000</v>
      </c>
      <c r="T45" s="57">
        <f>(S45-S44)/S44</f>
        <v>0.33333333333333331</v>
      </c>
      <c r="U45" s="40"/>
      <c r="V45" s="16"/>
      <c r="W45" s="16"/>
      <c r="X45" s="16"/>
      <c r="Y45" s="16"/>
      <c r="Z45" s="16"/>
    </row>
    <row r="46" spans="1:26" ht="14.4">
      <c r="A46" s="1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6">
      <c r="A47" s="3" t="s">
        <v>98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9"/>
      <c r="B48" s="5" t="s">
        <v>2</v>
      </c>
      <c r="C48" s="6" t="s">
        <v>3</v>
      </c>
      <c r="D48" s="6" t="s">
        <v>4</v>
      </c>
      <c r="E48" s="5" t="s">
        <v>5</v>
      </c>
      <c r="F48" s="6" t="s">
        <v>6</v>
      </c>
      <c r="G48" s="6" t="s">
        <v>7</v>
      </c>
      <c r="H48" s="5" t="s">
        <v>8</v>
      </c>
      <c r="I48" s="6" t="s">
        <v>9</v>
      </c>
      <c r="J48" s="6" t="s">
        <v>10</v>
      </c>
      <c r="K48" s="5" t="s">
        <v>11</v>
      </c>
      <c r="L48" s="6" t="s">
        <v>12</v>
      </c>
      <c r="M48" s="6" t="s">
        <v>13</v>
      </c>
      <c r="N48" s="7" t="s">
        <v>14</v>
      </c>
      <c r="O48" s="7" t="s">
        <v>15</v>
      </c>
      <c r="P48" s="7" t="s">
        <v>16</v>
      </c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4" t="s">
        <v>99</v>
      </c>
      <c r="B49" s="21">
        <v>0.1</v>
      </c>
      <c r="C49" s="21">
        <f t="shared" ref="C49:M49" si="11">B49</f>
        <v>0.1</v>
      </c>
      <c r="D49" s="21">
        <f t="shared" si="11"/>
        <v>0.1</v>
      </c>
      <c r="E49" s="21">
        <f t="shared" si="11"/>
        <v>0.1</v>
      </c>
      <c r="F49" s="21">
        <f t="shared" si="11"/>
        <v>0.1</v>
      </c>
      <c r="G49" s="21">
        <f t="shared" si="11"/>
        <v>0.1</v>
      </c>
      <c r="H49" s="21">
        <f t="shared" si="11"/>
        <v>0.1</v>
      </c>
      <c r="I49" s="21">
        <f t="shared" si="11"/>
        <v>0.1</v>
      </c>
      <c r="J49" s="21">
        <f t="shared" si="11"/>
        <v>0.1</v>
      </c>
      <c r="K49" s="21">
        <f t="shared" si="11"/>
        <v>0.1</v>
      </c>
      <c r="L49" s="21">
        <f t="shared" si="11"/>
        <v>0.1</v>
      </c>
      <c r="M49" s="21">
        <f t="shared" si="11"/>
        <v>0.1</v>
      </c>
      <c r="N49" s="58">
        <f>AVERAGE(B49:M49)</f>
        <v>9.9999999999999992E-2</v>
      </c>
      <c r="O49" s="21">
        <v>0.1</v>
      </c>
      <c r="P49" s="21">
        <v>0.1</v>
      </c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4" t="s">
        <v>100</v>
      </c>
      <c r="B50" s="29">
        <f t="shared" ref="B50:M50" si="12">B49*B27</f>
        <v>2000</v>
      </c>
      <c r="C50" s="29">
        <f t="shared" si="12"/>
        <v>2200</v>
      </c>
      <c r="D50" s="29">
        <f t="shared" si="12"/>
        <v>2400</v>
      </c>
      <c r="E50" s="29">
        <f t="shared" si="12"/>
        <v>1800</v>
      </c>
      <c r="F50" s="29">
        <f t="shared" si="12"/>
        <v>1400.0000000000002</v>
      </c>
      <c r="G50" s="29">
        <f t="shared" si="12"/>
        <v>1000</v>
      </c>
      <c r="H50" s="29">
        <f t="shared" si="12"/>
        <v>800</v>
      </c>
      <c r="I50" s="29">
        <f t="shared" si="12"/>
        <v>800</v>
      </c>
      <c r="J50" s="29">
        <f t="shared" si="12"/>
        <v>1000</v>
      </c>
      <c r="K50" s="29">
        <f t="shared" si="12"/>
        <v>1400.0000000000002</v>
      </c>
      <c r="L50" s="29">
        <f t="shared" si="12"/>
        <v>2600</v>
      </c>
      <c r="M50" s="29">
        <f t="shared" si="12"/>
        <v>2600</v>
      </c>
      <c r="N50" s="45">
        <f>SUM(B50:M50)</f>
        <v>20000</v>
      </c>
      <c r="O50" s="29">
        <f t="shared" ref="O50:P50" si="13">O49*O27</f>
        <v>30000</v>
      </c>
      <c r="P50" s="29">
        <f t="shared" si="13"/>
        <v>40000</v>
      </c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4" t="s">
        <v>101</v>
      </c>
      <c r="B51" s="21">
        <v>0.02</v>
      </c>
      <c r="C51" s="21">
        <f t="shared" ref="C51:M51" si="14">B51</f>
        <v>0.02</v>
      </c>
      <c r="D51" s="21">
        <f t="shared" si="14"/>
        <v>0.02</v>
      </c>
      <c r="E51" s="21">
        <f t="shared" si="14"/>
        <v>0.02</v>
      </c>
      <c r="F51" s="21">
        <f t="shared" si="14"/>
        <v>0.02</v>
      </c>
      <c r="G51" s="21">
        <f t="shared" si="14"/>
        <v>0.02</v>
      </c>
      <c r="H51" s="21">
        <f t="shared" si="14"/>
        <v>0.02</v>
      </c>
      <c r="I51" s="21">
        <f t="shared" si="14"/>
        <v>0.02</v>
      </c>
      <c r="J51" s="21">
        <f t="shared" si="14"/>
        <v>0.02</v>
      </c>
      <c r="K51" s="21">
        <f t="shared" si="14"/>
        <v>0.02</v>
      </c>
      <c r="L51" s="21">
        <f t="shared" si="14"/>
        <v>0.02</v>
      </c>
      <c r="M51" s="21">
        <f t="shared" si="14"/>
        <v>0.02</v>
      </c>
      <c r="N51" s="58">
        <f>AVERAGE(B51:M51)</f>
        <v>1.9999999999999997E-2</v>
      </c>
      <c r="O51" s="21">
        <v>0.02</v>
      </c>
      <c r="P51" s="21">
        <v>0.02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4" t="s">
        <v>102</v>
      </c>
      <c r="B52" s="29">
        <f>B51*B27</f>
        <v>400</v>
      </c>
      <c r="C52" s="29">
        <f t="shared" ref="C52:M52" si="15">C51*C50</f>
        <v>44</v>
      </c>
      <c r="D52" s="29">
        <f t="shared" si="15"/>
        <v>48</v>
      </c>
      <c r="E52" s="29">
        <f t="shared" si="15"/>
        <v>36</v>
      </c>
      <c r="F52" s="29">
        <f t="shared" si="15"/>
        <v>28.000000000000004</v>
      </c>
      <c r="G52" s="29">
        <f t="shared" si="15"/>
        <v>20</v>
      </c>
      <c r="H52" s="29">
        <f t="shared" si="15"/>
        <v>16</v>
      </c>
      <c r="I52" s="29">
        <f t="shared" si="15"/>
        <v>16</v>
      </c>
      <c r="J52" s="29">
        <f t="shared" si="15"/>
        <v>20</v>
      </c>
      <c r="K52" s="29">
        <f t="shared" si="15"/>
        <v>28.000000000000004</v>
      </c>
      <c r="L52" s="29">
        <f t="shared" si="15"/>
        <v>52</v>
      </c>
      <c r="M52" s="29">
        <f t="shared" si="15"/>
        <v>52</v>
      </c>
      <c r="N52" s="45">
        <f>SUM(B52:M52)</f>
        <v>760</v>
      </c>
      <c r="O52" s="29">
        <f t="shared" ref="O52:P52" si="16">O51*O50</f>
        <v>600</v>
      </c>
      <c r="P52" s="29">
        <f t="shared" si="16"/>
        <v>800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hidden="1" customHeight="1">
      <c r="A53" s="4" t="s">
        <v>103</v>
      </c>
      <c r="B53" s="21">
        <v>0</v>
      </c>
      <c r="C53" s="21">
        <f t="shared" ref="C53:M53" si="17">B53</f>
        <v>0</v>
      </c>
      <c r="D53" s="21">
        <f t="shared" si="17"/>
        <v>0</v>
      </c>
      <c r="E53" s="21">
        <f t="shared" si="17"/>
        <v>0</v>
      </c>
      <c r="F53" s="21">
        <f t="shared" si="17"/>
        <v>0</v>
      </c>
      <c r="G53" s="21">
        <f t="shared" si="17"/>
        <v>0</v>
      </c>
      <c r="H53" s="21">
        <f t="shared" si="17"/>
        <v>0</v>
      </c>
      <c r="I53" s="21">
        <f t="shared" si="17"/>
        <v>0</v>
      </c>
      <c r="J53" s="21">
        <f t="shared" si="17"/>
        <v>0</v>
      </c>
      <c r="K53" s="21">
        <f t="shared" si="17"/>
        <v>0</v>
      </c>
      <c r="L53" s="21">
        <f t="shared" si="17"/>
        <v>0</v>
      </c>
      <c r="M53" s="21">
        <f t="shared" si="17"/>
        <v>0</v>
      </c>
      <c r="N53" s="58">
        <f>AVERAGE(B53:M53)</f>
        <v>0</v>
      </c>
      <c r="O53" s="21">
        <v>0</v>
      </c>
      <c r="P53" s="21">
        <v>0</v>
      </c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hidden="1" customHeight="1">
      <c r="A54" s="4" t="s">
        <v>104</v>
      </c>
      <c r="B54" s="29">
        <f t="shared" ref="B54:M54" si="18">B53*B29</f>
        <v>0</v>
      </c>
      <c r="C54" s="29">
        <f t="shared" si="18"/>
        <v>0</v>
      </c>
      <c r="D54" s="29">
        <f t="shared" si="18"/>
        <v>0</v>
      </c>
      <c r="E54" s="29">
        <f t="shared" si="18"/>
        <v>0</v>
      </c>
      <c r="F54" s="29">
        <f t="shared" si="18"/>
        <v>0</v>
      </c>
      <c r="G54" s="29">
        <f t="shared" si="18"/>
        <v>0</v>
      </c>
      <c r="H54" s="29">
        <f t="shared" si="18"/>
        <v>0</v>
      </c>
      <c r="I54" s="29">
        <f t="shared" si="18"/>
        <v>0</v>
      </c>
      <c r="J54" s="29">
        <f t="shared" si="18"/>
        <v>0</v>
      </c>
      <c r="K54" s="29">
        <f t="shared" si="18"/>
        <v>0</v>
      </c>
      <c r="L54" s="29">
        <f t="shared" si="18"/>
        <v>0</v>
      </c>
      <c r="M54" s="29">
        <f t="shared" si="18"/>
        <v>0</v>
      </c>
      <c r="N54" s="45">
        <f>SUM(B54:M54)</f>
        <v>0</v>
      </c>
      <c r="O54" s="29">
        <f t="shared" ref="O54:P54" si="19">O53*O29</f>
        <v>0</v>
      </c>
      <c r="P54" s="29">
        <f t="shared" si="19"/>
        <v>0</v>
      </c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4" t="s">
        <v>105</v>
      </c>
      <c r="B55" s="21">
        <v>0.05</v>
      </c>
      <c r="C55" s="21">
        <v>0.05</v>
      </c>
      <c r="D55" s="21">
        <v>0.05</v>
      </c>
      <c r="E55" s="21">
        <v>0.05</v>
      </c>
      <c r="F55" s="21">
        <v>0.05</v>
      </c>
      <c r="G55" s="21">
        <v>0.05</v>
      </c>
      <c r="H55" s="21">
        <v>0.05</v>
      </c>
      <c r="I55" s="21">
        <v>0.05</v>
      </c>
      <c r="J55" s="21">
        <v>0.05</v>
      </c>
      <c r="K55" s="21">
        <v>0.05</v>
      </c>
      <c r="L55" s="21">
        <v>0.05</v>
      </c>
      <c r="M55" s="21">
        <v>0.05</v>
      </c>
      <c r="N55" s="58">
        <f>AVERAGE(B55:M55)</f>
        <v>4.9999999999999996E-2</v>
      </c>
      <c r="O55" s="21">
        <v>0.05</v>
      </c>
      <c r="P55" s="21">
        <v>0.05</v>
      </c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4" t="s">
        <v>107</v>
      </c>
      <c r="B56" s="29">
        <f t="shared" ref="B56:M56" si="20">B27*B55</f>
        <v>1000</v>
      </c>
      <c r="C56" s="29">
        <f t="shared" si="20"/>
        <v>1100</v>
      </c>
      <c r="D56" s="29">
        <f t="shared" si="20"/>
        <v>1200</v>
      </c>
      <c r="E56" s="29">
        <f t="shared" si="20"/>
        <v>900</v>
      </c>
      <c r="F56" s="29">
        <f t="shared" si="20"/>
        <v>700.00000000000011</v>
      </c>
      <c r="G56" s="29">
        <f t="shared" si="20"/>
        <v>500</v>
      </c>
      <c r="H56" s="29">
        <f t="shared" si="20"/>
        <v>400</v>
      </c>
      <c r="I56" s="29">
        <f t="shared" si="20"/>
        <v>400</v>
      </c>
      <c r="J56" s="29">
        <f t="shared" si="20"/>
        <v>500</v>
      </c>
      <c r="K56" s="29">
        <f t="shared" si="20"/>
        <v>700.00000000000011</v>
      </c>
      <c r="L56" s="29">
        <f t="shared" si="20"/>
        <v>1300</v>
      </c>
      <c r="M56" s="29">
        <f t="shared" si="20"/>
        <v>1300</v>
      </c>
      <c r="N56" s="45">
        <f t="shared" ref="N56:N57" si="21">SUM(B56:M56)</f>
        <v>10000</v>
      </c>
      <c r="O56" s="29">
        <f t="shared" ref="O56:P56" si="22">O27*O55</f>
        <v>15000</v>
      </c>
      <c r="P56" s="29">
        <f t="shared" si="22"/>
        <v>20000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61" t="s">
        <v>108</v>
      </c>
      <c r="B57" s="62">
        <f t="shared" ref="B57:M57" si="23">B50+B52+B54+B56</f>
        <v>3400</v>
      </c>
      <c r="C57" s="62">
        <f t="shared" si="23"/>
        <v>3344</v>
      </c>
      <c r="D57" s="62">
        <f t="shared" si="23"/>
        <v>3648</v>
      </c>
      <c r="E57" s="62">
        <f t="shared" si="23"/>
        <v>2736</v>
      </c>
      <c r="F57" s="62">
        <f t="shared" si="23"/>
        <v>2128.0000000000005</v>
      </c>
      <c r="G57" s="62">
        <f t="shared" si="23"/>
        <v>1520</v>
      </c>
      <c r="H57" s="62">
        <f t="shared" si="23"/>
        <v>1216</v>
      </c>
      <c r="I57" s="62">
        <f t="shared" si="23"/>
        <v>1216</v>
      </c>
      <c r="J57" s="62">
        <f t="shared" si="23"/>
        <v>1520</v>
      </c>
      <c r="K57" s="62">
        <f t="shared" si="23"/>
        <v>2128.0000000000005</v>
      </c>
      <c r="L57" s="62">
        <f t="shared" si="23"/>
        <v>3952</v>
      </c>
      <c r="M57" s="62">
        <f t="shared" si="23"/>
        <v>3952</v>
      </c>
      <c r="N57" s="63">
        <f t="shared" si="21"/>
        <v>30760</v>
      </c>
      <c r="O57" s="62">
        <f t="shared" ref="O57:P57" si="24">O50+O52+O54+O56</f>
        <v>45600</v>
      </c>
      <c r="P57" s="62">
        <f t="shared" si="24"/>
        <v>60800</v>
      </c>
      <c r="Q57" s="16"/>
      <c r="R57" s="38" t="s">
        <v>109</v>
      </c>
      <c r="S57" s="39">
        <f t="shared" ref="S57:U57" si="25">N57/N29</f>
        <v>0.15379999999999999</v>
      </c>
      <c r="T57" s="39">
        <f t="shared" si="25"/>
        <v>0.152</v>
      </c>
      <c r="U57" s="39">
        <f t="shared" si="25"/>
        <v>0.152</v>
      </c>
      <c r="V57" s="16"/>
      <c r="W57" s="16"/>
      <c r="X57" s="16"/>
      <c r="Y57" s="16"/>
      <c r="Z57" s="16"/>
    </row>
    <row r="58" spans="1:26" ht="14.25" customHeight="1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52"/>
      <c r="P58" s="52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.75" customHeight="1">
      <c r="A59" s="3" t="s">
        <v>110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8.5" customHeight="1">
      <c r="A60" s="19"/>
      <c r="B60" s="19" t="s">
        <v>33</v>
      </c>
      <c r="C60" s="5" t="s">
        <v>2</v>
      </c>
      <c r="D60" s="6" t="s">
        <v>3</v>
      </c>
      <c r="E60" s="6" t="s">
        <v>4</v>
      </c>
      <c r="F60" s="5" t="s">
        <v>5</v>
      </c>
      <c r="G60" s="6" t="s">
        <v>6</v>
      </c>
      <c r="H60" s="6" t="s">
        <v>7</v>
      </c>
      <c r="I60" s="5" t="s">
        <v>8</v>
      </c>
      <c r="J60" s="6" t="s">
        <v>9</v>
      </c>
      <c r="K60" s="6" t="s">
        <v>10</v>
      </c>
      <c r="L60" s="5" t="s">
        <v>11</v>
      </c>
      <c r="M60" s="6" t="s">
        <v>12</v>
      </c>
      <c r="N60" s="6" t="s">
        <v>13</v>
      </c>
      <c r="O60" s="7" t="s">
        <v>14</v>
      </c>
      <c r="P60" s="7" t="s">
        <v>15</v>
      </c>
      <c r="Q60" s="7" t="s">
        <v>16</v>
      </c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66" t="s">
        <v>111</v>
      </c>
      <c r="B61" s="67">
        <f>Investments!B17</f>
        <v>27500</v>
      </c>
      <c r="C61" s="29">
        <f>Investments!C17</f>
        <v>0</v>
      </c>
      <c r="D61" s="29">
        <f>Investments!D17</f>
        <v>0</v>
      </c>
      <c r="E61" s="29">
        <f>Investments!E17</f>
        <v>0</v>
      </c>
      <c r="F61" s="29">
        <f>Investments!F17</f>
        <v>0</v>
      </c>
      <c r="G61" s="29">
        <f>Investments!G17</f>
        <v>0</v>
      </c>
      <c r="H61" s="29">
        <f>Investments!H17</f>
        <v>0</v>
      </c>
      <c r="I61" s="29">
        <f>Investments!I17</f>
        <v>0</v>
      </c>
      <c r="J61" s="29">
        <f>Investments!J17</f>
        <v>0</v>
      </c>
      <c r="K61" s="29">
        <f>Investments!K17</f>
        <v>0</v>
      </c>
      <c r="L61" s="29">
        <f>Investments!L17</f>
        <v>0</v>
      </c>
      <c r="M61" s="29">
        <f>Investments!M17</f>
        <v>0</v>
      </c>
      <c r="N61" s="29">
        <f>Investments!N17</f>
        <v>0</v>
      </c>
      <c r="O61" s="29">
        <f t="shared" ref="O61:O62" si="26">SUM(C61:N61)</f>
        <v>0</v>
      </c>
      <c r="P61" s="29">
        <f>Investments!P17</f>
        <v>0</v>
      </c>
      <c r="Q61" s="29">
        <f>Investments!Q17</f>
        <v>0</v>
      </c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hidden="1" customHeight="1">
      <c r="A62" s="66" t="s">
        <v>112</v>
      </c>
      <c r="B62" s="67">
        <f>Investments!B32</f>
        <v>264000</v>
      </c>
      <c r="C62" s="29">
        <f>Investments!C32</f>
        <v>0</v>
      </c>
      <c r="D62" s="29">
        <f>Investments!D32</f>
        <v>0</v>
      </c>
      <c r="E62" s="29">
        <f>Investments!E32</f>
        <v>0</v>
      </c>
      <c r="F62" s="29">
        <f>Investments!F32</f>
        <v>0</v>
      </c>
      <c r="G62" s="29">
        <f>Investments!G32</f>
        <v>0</v>
      </c>
      <c r="H62" s="29">
        <f>Investments!H32</f>
        <v>0</v>
      </c>
      <c r="I62" s="29">
        <f>Investments!I32</f>
        <v>0</v>
      </c>
      <c r="J62" s="29">
        <f>Investments!J32</f>
        <v>0</v>
      </c>
      <c r="K62" s="29">
        <f>Investments!K32</f>
        <v>10000</v>
      </c>
      <c r="L62" s="29">
        <f>Investments!L32</f>
        <v>0</v>
      </c>
      <c r="M62" s="29">
        <f>Investments!M32</f>
        <v>0</v>
      </c>
      <c r="N62" s="29">
        <f>Investments!N32</f>
        <v>0</v>
      </c>
      <c r="O62" s="29">
        <f t="shared" si="26"/>
        <v>10000</v>
      </c>
      <c r="P62" s="29">
        <f>Investments!P32</f>
        <v>276000</v>
      </c>
      <c r="Q62" s="29">
        <f>Investments!Q32</f>
        <v>720000</v>
      </c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68" t="s">
        <v>113</v>
      </c>
      <c r="B63" s="69">
        <f>B62+B61</f>
        <v>291500</v>
      </c>
      <c r="C63" s="62">
        <f t="shared" ref="C63:Q63" si="27">SUM(C61:C62)</f>
        <v>0</v>
      </c>
      <c r="D63" s="62">
        <f t="shared" si="27"/>
        <v>0</v>
      </c>
      <c r="E63" s="62">
        <f t="shared" si="27"/>
        <v>0</v>
      </c>
      <c r="F63" s="62">
        <f t="shared" si="27"/>
        <v>0</v>
      </c>
      <c r="G63" s="62">
        <f t="shared" si="27"/>
        <v>0</v>
      </c>
      <c r="H63" s="62">
        <f t="shared" si="27"/>
        <v>0</v>
      </c>
      <c r="I63" s="62">
        <f t="shared" si="27"/>
        <v>0</v>
      </c>
      <c r="J63" s="62">
        <f t="shared" si="27"/>
        <v>0</v>
      </c>
      <c r="K63" s="62">
        <f t="shared" si="27"/>
        <v>10000</v>
      </c>
      <c r="L63" s="62">
        <f t="shared" si="27"/>
        <v>0</v>
      </c>
      <c r="M63" s="62">
        <f t="shared" si="27"/>
        <v>0</v>
      </c>
      <c r="N63" s="62">
        <f t="shared" si="27"/>
        <v>0</v>
      </c>
      <c r="O63" s="62">
        <f t="shared" si="27"/>
        <v>10000</v>
      </c>
      <c r="P63" s="62">
        <f t="shared" si="27"/>
        <v>276000</v>
      </c>
      <c r="Q63" s="62">
        <f t="shared" si="27"/>
        <v>720000</v>
      </c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.75" customHeight="1">
      <c r="A64" s="19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6">
      <c r="A65" s="3" t="s">
        <v>114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9"/>
      <c r="B66" s="5" t="s">
        <v>2</v>
      </c>
      <c r="C66" s="6" t="s">
        <v>3</v>
      </c>
      <c r="D66" s="6" t="s">
        <v>4</v>
      </c>
      <c r="E66" s="5" t="s">
        <v>5</v>
      </c>
      <c r="F66" s="6" t="s">
        <v>6</v>
      </c>
      <c r="G66" s="6" t="s">
        <v>7</v>
      </c>
      <c r="H66" s="5" t="s">
        <v>8</v>
      </c>
      <c r="I66" s="6" t="s">
        <v>9</v>
      </c>
      <c r="J66" s="6" t="s">
        <v>10</v>
      </c>
      <c r="K66" s="5" t="s">
        <v>11</v>
      </c>
      <c r="L66" s="6" t="s">
        <v>12</v>
      </c>
      <c r="M66" s="6" t="s">
        <v>13</v>
      </c>
      <c r="N66" s="7" t="s">
        <v>14</v>
      </c>
      <c r="O66" s="7" t="s">
        <v>15</v>
      </c>
      <c r="P66" s="7" t="s">
        <v>16</v>
      </c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4" t="s">
        <v>115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f>(O61+Investments!B17)/4</f>
        <v>6875</v>
      </c>
      <c r="N67" s="29">
        <f t="shared" ref="N67:N68" si="28">M67</f>
        <v>6875</v>
      </c>
      <c r="O67" s="29">
        <f>(O61+P61+Investments!B17)/4</f>
        <v>6875</v>
      </c>
      <c r="P67" s="29">
        <f>(O61+P61+Q61+Investments!B17)/4</f>
        <v>6875</v>
      </c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4" t="s">
        <v>118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f>Investments!O32/30</f>
        <v>9133.3333333333339</v>
      </c>
      <c r="N68" s="29">
        <f t="shared" si="28"/>
        <v>9133.3333333333339</v>
      </c>
      <c r="O68" s="29">
        <f>N68+(Investments!P32/30)</f>
        <v>18333.333333333336</v>
      </c>
      <c r="P68" s="29">
        <f>O68+(Investments!Q32/30)</f>
        <v>42333.333333333336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77" t="s">
        <v>113</v>
      </c>
      <c r="B69" s="62">
        <f t="shared" ref="B69:P69" si="29">SUM(B67:B68)</f>
        <v>0</v>
      </c>
      <c r="C69" s="62">
        <f t="shared" si="29"/>
        <v>0</v>
      </c>
      <c r="D69" s="62">
        <f t="shared" si="29"/>
        <v>0</v>
      </c>
      <c r="E69" s="62">
        <f t="shared" si="29"/>
        <v>0</v>
      </c>
      <c r="F69" s="62">
        <f t="shared" si="29"/>
        <v>0</v>
      </c>
      <c r="G69" s="62">
        <f t="shared" si="29"/>
        <v>0</v>
      </c>
      <c r="H69" s="62">
        <f t="shared" si="29"/>
        <v>0</v>
      </c>
      <c r="I69" s="62">
        <f t="shared" si="29"/>
        <v>0</v>
      </c>
      <c r="J69" s="62">
        <f t="shared" si="29"/>
        <v>0</v>
      </c>
      <c r="K69" s="62">
        <f t="shared" si="29"/>
        <v>0</v>
      </c>
      <c r="L69" s="62">
        <f t="shared" si="29"/>
        <v>0</v>
      </c>
      <c r="M69" s="62">
        <f t="shared" si="29"/>
        <v>16008.333333333334</v>
      </c>
      <c r="N69" s="62">
        <f t="shared" si="29"/>
        <v>16008.333333333334</v>
      </c>
      <c r="O69" s="62">
        <f t="shared" si="29"/>
        <v>25208.333333333336</v>
      </c>
      <c r="P69" s="62">
        <f t="shared" si="29"/>
        <v>49208.333333333336</v>
      </c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9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6">
      <c r="A71" s="24" t="s">
        <v>123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9"/>
      <c r="B72" s="5" t="s">
        <v>2</v>
      </c>
      <c r="C72" s="6" t="s">
        <v>3</v>
      </c>
      <c r="D72" s="6" t="s">
        <v>4</v>
      </c>
      <c r="E72" s="5" t="s">
        <v>5</v>
      </c>
      <c r="F72" s="6" t="s">
        <v>6</v>
      </c>
      <c r="G72" s="6" t="s">
        <v>7</v>
      </c>
      <c r="H72" s="5" t="s">
        <v>8</v>
      </c>
      <c r="I72" s="6" t="s">
        <v>9</v>
      </c>
      <c r="J72" s="6" t="s">
        <v>10</v>
      </c>
      <c r="K72" s="5" t="s">
        <v>11</v>
      </c>
      <c r="L72" s="6" t="s">
        <v>12</v>
      </c>
      <c r="M72" s="6" t="s">
        <v>13</v>
      </c>
      <c r="N72" s="7" t="s">
        <v>14</v>
      </c>
      <c r="O72" s="7" t="s">
        <v>15</v>
      </c>
      <c r="P72" s="7" t="s">
        <v>16</v>
      </c>
      <c r="Q72" s="48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32" t="s">
        <v>123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f>SUM(B73:M73)</f>
        <v>0</v>
      </c>
      <c r="O73" s="29">
        <v>0</v>
      </c>
      <c r="P73" s="29">
        <f>O73</f>
        <v>0</v>
      </c>
      <c r="Q73" s="48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.75" customHeight="1">
      <c r="A74" s="19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6">
      <c r="A75" s="3" t="s">
        <v>126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8.5" customHeight="1">
      <c r="A76" s="19"/>
      <c r="B76" s="4" t="s">
        <v>127</v>
      </c>
      <c r="C76" s="5" t="s">
        <v>2</v>
      </c>
      <c r="D76" s="6" t="s">
        <v>3</v>
      </c>
      <c r="E76" s="6" t="s">
        <v>4</v>
      </c>
      <c r="F76" s="5" t="s">
        <v>5</v>
      </c>
      <c r="G76" s="6" t="s">
        <v>6</v>
      </c>
      <c r="H76" s="6" t="s">
        <v>7</v>
      </c>
      <c r="I76" s="5" t="s">
        <v>8</v>
      </c>
      <c r="J76" s="6" t="s">
        <v>9</v>
      </c>
      <c r="K76" s="6" t="s">
        <v>10</v>
      </c>
      <c r="L76" s="5" t="s">
        <v>11</v>
      </c>
      <c r="M76" s="6" t="s">
        <v>12</v>
      </c>
      <c r="N76" s="6" t="s">
        <v>13</v>
      </c>
      <c r="O76" s="7" t="s">
        <v>14</v>
      </c>
      <c r="P76" s="7" t="s">
        <v>15</v>
      </c>
      <c r="Q76" s="7" t="s">
        <v>16</v>
      </c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4" t="s">
        <v>128</v>
      </c>
      <c r="B77" s="21">
        <v>0.1</v>
      </c>
      <c r="C77" s="29">
        <v>100</v>
      </c>
      <c r="D77" s="29">
        <v>100</v>
      </c>
      <c r="E77" s="29">
        <v>100</v>
      </c>
      <c r="F77" s="29">
        <v>100</v>
      </c>
      <c r="G77" s="29">
        <v>100</v>
      </c>
      <c r="H77" s="29">
        <v>100</v>
      </c>
      <c r="I77" s="29">
        <v>200</v>
      </c>
      <c r="J77" s="29">
        <v>200</v>
      </c>
      <c r="K77" s="29">
        <v>200</v>
      </c>
      <c r="L77" s="29">
        <v>200</v>
      </c>
      <c r="M77" s="29">
        <v>200</v>
      </c>
      <c r="N77" s="29">
        <v>200</v>
      </c>
      <c r="O77" s="29">
        <f>SUM(C77:N77)</f>
        <v>1800</v>
      </c>
      <c r="P77" s="29">
        <f>N77*12</f>
        <v>2400</v>
      </c>
      <c r="Q77" s="29">
        <f>P77</f>
        <v>2400</v>
      </c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4" t="s">
        <v>129</v>
      </c>
      <c r="B78" s="23"/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f t="shared" ref="P78:P80" si="30">O78</f>
        <v>0</v>
      </c>
      <c r="Q78" s="29">
        <v>0</v>
      </c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4" t="s">
        <v>131</v>
      </c>
      <c r="B79" s="21">
        <v>0.1</v>
      </c>
      <c r="C79" s="29">
        <v>200</v>
      </c>
      <c r="D79" s="29">
        <v>200</v>
      </c>
      <c r="E79" s="29">
        <v>200</v>
      </c>
      <c r="F79" s="29">
        <v>200</v>
      </c>
      <c r="G79" s="29">
        <v>200</v>
      </c>
      <c r="H79" s="29">
        <v>200</v>
      </c>
      <c r="I79" s="29">
        <v>400</v>
      </c>
      <c r="J79" s="29">
        <v>400</v>
      </c>
      <c r="K79" s="29">
        <v>400</v>
      </c>
      <c r="L79" s="29">
        <v>400</v>
      </c>
      <c r="M79" s="29">
        <v>400</v>
      </c>
      <c r="N79" s="29">
        <v>400</v>
      </c>
      <c r="O79" s="29">
        <f t="shared" ref="O79:O91" si="31">SUM(C79:N79)</f>
        <v>3600</v>
      </c>
      <c r="P79" s="29">
        <f t="shared" si="30"/>
        <v>3600</v>
      </c>
      <c r="Q79" s="29">
        <f t="shared" ref="Q79:Q81" si="32">P79</f>
        <v>3600</v>
      </c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4" t="s">
        <v>129</v>
      </c>
      <c r="B80" s="23"/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f t="shared" si="31"/>
        <v>0</v>
      </c>
      <c r="P80" s="29">
        <f t="shared" si="30"/>
        <v>0</v>
      </c>
      <c r="Q80" s="29">
        <f t="shared" si="32"/>
        <v>0</v>
      </c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4" t="s">
        <v>133</v>
      </c>
      <c r="B81" s="21">
        <v>0.1</v>
      </c>
      <c r="C81" s="29">
        <v>800</v>
      </c>
      <c r="D81" s="29">
        <v>800</v>
      </c>
      <c r="E81" s="29">
        <v>800</v>
      </c>
      <c r="F81" s="29">
        <v>800</v>
      </c>
      <c r="G81" s="29">
        <v>800</v>
      </c>
      <c r="H81" s="29">
        <v>800</v>
      </c>
      <c r="I81" s="29">
        <v>800</v>
      </c>
      <c r="J81" s="29">
        <v>800</v>
      </c>
      <c r="K81" s="29">
        <v>800</v>
      </c>
      <c r="L81" s="29">
        <v>800</v>
      </c>
      <c r="M81" s="29">
        <v>800</v>
      </c>
      <c r="N81" s="29">
        <v>800</v>
      </c>
      <c r="O81" s="29">
        <f t="shared" si="31"/>
        <v>9600</v>
      </c>
      <c r="P81" s="29">
        <f>N81*12</f>
        <v>9600</v>
      </c>
      <c r="Q81" s="29">
        <f t="shared" si="32"/>
        <v>9600</v>
      </c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4" t="s">
        <v>129</v>
      </c>
      <c r="B82" s="23"/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f t="shared" si="31"/>
        <v>0</v>
      </c>
      <c r="P82" s="29">
        <f t="shared" ref="P82:Q82" si="33">O82</f>
        <v>0</v>
      </c>
      <c r="Q82" s="29">
        <f t="shared" si="33"/>
        <v>0</v>
      </c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4">
      <c r="A83" s="4" t="s">
        <v>134</v>
      </c>
      <c r="B83" s="21">
        <v>0.1</v>
      </c>
      <c r="C83" s="29">
        <v>300</v>
      </c>
      <c r="D83" s="29">
        <v>300</v>
      </c>
      <c r="E83" s="29">
        <v>300</v>
      </c>
      <c r="F83" s="29">
        <v>300</v>
      </c>
      <c r="G83" s="29">
        <v>300</v>
      </c>
      <c r="H83" s="29">
        <v>300</v>
      </c>
      <c r="I83" s="29">
        <v>300</v>
      </c>
      <c r="J83" s="29">
        <v>300</v>
      </c>
      <c r="K83" s="29">
        <v>300</v>
      </c>
      <c r="L83" s="29">
        <v>300</v>
      </c>
      <c r="M83" s="29">
        <v>300</v>
      </c>
      <c r="N83" s="29">
        <v>300</v>
      </c>
      <c r="O83" s="29">
        <f t="shared" si="31"/>
        <v>3600</v>
      </c>
      <c r="P83" s="29">
        <f>N83*2*12</f>
        <v>7200</v>
      </c>
      <c r="Q83" s="29">
        <f>P83*2</f>
        <v>14400</v>
      </c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4" t="s">
        <v>129</v>
      </c>
      <c r="B84" s="23"/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f t="shared" si="31"/>
        <v>0</v>
      </c>
      <c r="P84" s="29">
        <f t="shared" ref="P84:Q84" si="34">O84</f>
        <v>0</v>
      </c>
      <c r="Q84" s="29">
        <f t="shared" si="34"/>
        <v>0</v>
      </c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hidden="1" customHeight="1">
      <c r="A85" s="4" t="s">
        <v>136</v>
      </c>
      <c r="B85" s="21">
        <v>0.13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f t="shared" si="31"/>
        <v>0</v>
      </c>
      <c r="P85" s="29">
        <f>O85*2</f>
        <v>0</v>
      </c>
      <c r="Q85" s="29">
        <v>0</v>
      </c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hidden="1" customHeight="1">
      <c r="A86" s="4" t="s">
        <v>129</v>
      </c>
      <c r="B86" s="23"/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f t="shared" si="31"/>
        <v>0</v>
      </c>
      <c r="P86" s="29">
        <f t="shared" ref="P86:Q86" si="35">O86</f>
        <v>0</v>
      </c>
      <c r="Q86" s="29">
        <f t="shared" si="35"/>
        <v>0</v>
      </c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4" hidden="1">
      <c r="A87" s="32" t="s">
        <v>137</v>
      </c>
      <c r="B87" s="21">
        <v>0.2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f t="shared" si="31"/>
        <v>0</v>
      </c>
      <c r="P87" s="29">
        <f t="shared" ref="P87:Q87" si="36">O87</f>
        <v>0</v>
      </c>
      <c r="Q87" s="29">
        <f t="shared" si="36"/>
        <v>0</v>
      </c>
      <c r="R87" s="16"/>
      <c r="S87" s="16"/>
      <c r="T87" s="16"/>
      <c r="U87" s="16"/>
      <c r="V87" s="19"/>
      <c r="W87" s="16"/>
      <c r="X87" s="16"/>
      <c r="Y87" s="16"/>
      <c r="Z87" s="16"/>
    </row>
    <row r="88" spans="1:26" ht="14.25" hidden="1" customHeight="1">
      <c r="A88" s="4" t="s">
        <v>129</v>
      </c>
      <c r="B88" s="23"/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f t="shared" si="31"/>
        <v>0</v>
      </c>
      <c r="P88" s="29">
        <f t="shared" ref="P88:Q88" si="37">O88</f>
        <v>0</v>
      </c>
      <c r="Q88" s="29">
        <f t="shared" si="37"/>
        <v>0</v>
      </c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hidden="1" customHeight="1">
      <c r="A89" s="32" t="s">
        <v>137</v>
      </c>
      <c r="B89" s="21">
        <v>0.2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f t="shared" si="31"/>
        <v>0</v>
      </c>
      <c r="P89" s="29">
        <f t="shared" ref="P89:Q89" si="38">O89</f>
        <v>0</v>
      </c>
      <c r="Q89" s="29">
        <f t="shared" si="38"/>
        <v>0</v>
      </c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hidden="1" customHeight="1">
      <c r="A90" s="4" t="s">
        <v>129</v>
      </c>
      <c r="B90" s="23"/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f t="shared" si="31"/>
        <v>0</v>
      </c>
      <c r="P90" s="29">
        <v>0</v>
      </c>
      <c r="Q90" s="29">
        <v>0</v>
      </c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4" t="s">
        <v>138</v>
      </c>
      <c r="B91" s="23"/>
      <c r="C91" s="29">
        <f t="shared" ref="C91:N91" si="39">($B$77*(C77+C78))+($B$81*(C81+C82))+($B$83*(C83+C84))+($B$85*(C85+C86))+($B$87*(C87+C88))+($B$89*(C89+C90))</f>
        <v>120</v>
      </c>
      <c r="D91" s="29">
        <f t="shared" si="39"/>
        <v>120</v>
      </c>
      <c r="E91" s="29">
        <f t="shared" si="39"/>
        <v>120</v>
      </c>
      <c r="F91" s="29">
        <f t="shared" si="39"/>
        <v>120</v>
      </c>
      <c r="G91" s="29">
        <f t="shared" si="39"/>
        <v>120</v>
      </c>
      <c r="H91" s="29">
        <f t="shared" si="39"/>
        <v>120</v>
      </c>
      <c r="I91" s="29">
        <f t="shared" si="39"/>
        <v>130</v>
      </c>
      <c r="J91" s="29">
        <f t="shared" si="39"/>
        <v>130</v>
      </c>
      <c r="K91" s="29">
        <f t="shared" si="39"/>
        <v>130</v>
      </c>
      <c r="L91" s="29">
        <f t="shared" si="39"/>
        <v>130</v>
      </c>
      <c r="M91" s="29">
        <f t="shared" si="39"/>
        <v>130</v>
      </c>
      <c r="N91" s="29">
        <f t="shared" si="39"/>
        <v>130</v>
      </c>
      <c r="O91" s="29">
        <f t="shared" si="31"/>
        <v>1500</v>
      </c>
      <c r="P91" s="29">
        <f t="shared" ref="P91:Q91" si="40">($B$77*(P77+P78))+($B$81*(P81+P82))+($B$83*(P83+P84))+($B$85*(P85+P86))+($B$87*(P87+P88))+($B$89*(P89+P90))</f>
        <v>1920</v>
      </c>
      <c r="Q91" s="29">
        <f t="shared" si="40"/>
        <v>2640</v>
      </c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61" t="s">
        <v>139</v>
      </c>
      <c r="B92" s="82"/>
      <c r="C92" s="62">
        <f t="shared" ref="C92:Q92" si="41">SUM(C77:C91)</f>
        <v>1520</v>
      </c>
      <c r="D92" s="62">
        <f t="shared" si="41"/>
        <v>1520</v>
      </c>
      <c r="E92" s="62">
        <f t="shared" si="41"/>
        <v>1520</v>
      </c>
      <c r="F92" s="62">
        <f t="shared" si="41"/>
        <v>1520</v>
      </c>
      <c r="G92" s="62">
        <f t="shared" si="41"/>
        <v>1520</v>
      </c>
      <c r="H92" s="62">
        <f t="shared" si="41"/>
        <v>1520</v>
      </c>
      <c r="I92" s="62">
        <f t="shared" si="41"/>
        <v>1830</v>
      </c>
      <c r="J92" s="62">
        <f t="shared" si="41"/>
        <v>1830</v>
      </c>
      <c r="K92" s="62">
        <f t="shared" si="41"/>
        <v>1830</v>
      </c>
      <c r="L92" s="62">
        <f t="shared" si="41"/>
        <v>1830</v>
      </c>
      <c r="M92" s="62">
        <f t="shared" si="41"/>
        <v>1830</v>
      </c>
      <c r="N92" s="62">
        <f t="shared" si="41"/>
        <v>1830</v>
      </c>
      <c r="O92" s="62">
        <f t="shared" si="41"/>
        <v>20100</v>
      </c>
      <c r="P92" s="62">
        <f t="shared" si="41"/>
        <v>24720</v>
      </c>
      <c r="Q92" s="62">
        <f t="shared" si="41"/>
        <v>32640</v>
      </c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4">
      <c r="A93" s="19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6" hidden="1">
      <c r="A94" s="24" t="s">
        <v>137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8.5" hidden="1" customHeight="1">
      <c r="A95" s="19"/>
      <c r="B95" s="4" t="s">
        <v>127</v>
      </c>
      <c r="C95" s="83" t="s">
        <v>140</v>
      </c>
      <c r="D95" s="83" t="s">
        <v>141</v>
      </c>
      <c r="E95" s="83" t="s">
        <v>142</v>
      </c>
      <c r="F95" s="83" t="s">
        <v>143</v>
      </c>
      <c r="G95" s="83" t="s">
        <v>144</v>
      </c>
      <c r="H95" s="83" t="s">
        <v>145</v>
      </c>
      <c r="I95" s="83" t="s">
        <v>146</v>
      </c>
      <c r="J95" s="83" t="s">
        <v>147</v>
      </c>
      <c r="K95" s="83" t="s">
        <v>148</v>
      </c>
      <c r="L95" s="83" t="s">
        <v>149</v>
      </c>
      <c r="M95" s="83" t="s">
        <v>150</v>
      </c>
      <c r="N95" s="83" t="s">
        <v>151</v>
      </c>
      <c r="O95" s="23" t="s">
        <v>85</v>
      </c>
      <c r="P95" s="23" t="s">
        <v>87</v>
      </c>
      <c r="Q95" s="23" t="s">
        <v>89</v>
      </c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4" hidden="1">
      <c r="A96" s="32" t="s">
        <v>137</v>
      </c>
      <c r="B96" s="21">
        <v>0.2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f t="shared" ref="O96:O107" si="42">SUM(C96:N96)</f>
        <v>0</v>
      </c>
      <c r="P96" s="29">
        <f t="shared" ref="P96:Q96" si="43">O96</f>
        <v>0</v>
      </c>
      <c r="Q96" s="29">
        <f t="shared" si="43"/>
        <v>0</v>
      </c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4" hidden="1">
      <c r="A97" s="32" t="s">
        <v>137</v>
      </c>
      <c r="B97" s="23"/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f t="shared" si="42"/>
        <v>0</v>
      </c>
      <c r="P97" s="29">
        <f t="shared" ref="P97:Q97" si="44">O97</f>
        <v>0</v>
      </c>
      <c r="Q97" s="29">
        <f t="shared" si="44"/>
        <v>0</v>
      </c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4" hidden="1">
      <c r="A98" s="32" t="s">
        <v>137</v>
      </c>
      <c r="B98" s="21">
        <v>0.2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f t="shared" si="42"/>
        <v>0</v>
      </c>
      <c r="P98" s="29">
        <f t="shared" ref="P98:Q98" si="45">O98</f>
        <v>0</v>
      </c>
      <c r="Q98" s="29">
        <f t="shared" si="45"/>
        <v>0</v>
      </c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4" hidden="1">
      <c r="A99" s="32" t="s">
        <v>137</v>
      </c>
      <c r="B99" s="23"/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f t="shared" si="42"/>
        <v>0</v>
      </c>
      <c r="P99" s="29">
        <f t="shared" ref="P99:Q99" si="46">O99</f>
        <v>0</v>
      </c>
      <c r="Q99" s="29">
        <f t="shared" si="46"/>
        <v>0</v>
      </c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4" hidden="1">
      <c r="A100" s="32" t="s">
        <v>137</v>
      </c>
      <c r="B100" s="21">
        <v>0.2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f t="shared" si="42"/>
        <v>0</v>
      </c>
      <c r="P100" s="29">
        <f t="shared" ref="P100:Q100" si="47">O100</f>
        <v>0</v>
      </c>
      <c r="Q100" s="29">
        <f t="shared" si="47"/>
        <v>0</v>
      </c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4" hidden="1">
      <c r="A101" s="32" t="s">
        <v>137</v>
      </c>
      <c r="B101" s="23"/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f t="shared" si="42"/>
        <v>0</v>
      </c>
      <c r="P101" s="29">
        <f t="shared" ref="P101:Q101" si="48">O101</f>
        <v>0</v>
      </c>
      <c r="Q101" s="29">
        <f t="shared" si="48"/>
        <v>0</v>
      </c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4" hidden="1">
      <c r="A102" s="32" t="s">
        <v>137</v>
      </c>
      <c r="B102" s="21">
        <v>0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f t="shared" si="42"/>
        <v>0</v>
      </c>
      <c r="P102" s="29">
        <f t="shared" ref="P102:Q102" si="49">O102*2</f>
        <v>0</v>
      </c>
      <c r="Q102" s="29">
        <f t="shared" si="49"/>
        <v>0</v>
      </c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4" hidden="1">
      <c r="A103" s="32" t="s">
        <v>137</v>
      </c>
      <c r="B103" s="23"/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f t="shared" si="42"/>
        <v>0</v>
      </c>
      <c r="P103" s="29">
        <v>0</v>
      </c>
      <c r="Q103" s="29">
        <v>0</v>
      </c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4" hidden="1">
      <c r="A104" s="32" t="s">
        <v>153</v>
      </c>
      <c r="B104" s="21">
        <v>0.2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f t="shared" si="42"/>
        <v>0</v>
      </c>
      <c r="P104" s="29">
        <v>0</v>
      </c>
      <c r="Q104" s="29">
        <v>0</v>
      </c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4" hidden="1">
      <c r="A105" s="32" t="s">
        <v>154</v>
      </c>
      <c r="B105" s="23"/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29">
        <v>0</v>
      </c>
      <c r="N105" s="29">
        <v>0</v>
      </c>
      <c r="O105" s="29">
        <f t="shared" si="42"/>
        <v>0</v>
      </c>
      <c r="P105" s="29">
        <v>0</v>
      </c>
      <c r="Q105" s="29">
        <v>0</v>
      </c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4" hidden="1">
      <c r="A106" s="32" t="s">
        <v>155</v>
      </c>
      <c r="B106" s="21">
        <v>0.2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0</v>
      </c>
      <c r="O106" s="29">
        <f t="shared" si="42"/>
        <v>0</v>
      </c>
      <c r="P106" s="29">
        <v>0</v>
      </c>
      <c r="Q106" s="29">
        <v>0</v>
      </c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4" hidden="1">
      <c r="A107" s="32" t="s">
        <v>154</v>
      </c>
      <c r="B107" s="23"/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f t="shared" si="42"/>
        <v>0</v>
      </c>
      <c r="P107" s="29">
        <v>0</v>
      </c>
      <c r="Q107" s="29">
        <v>0</v>
      </c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4" hidden="1">
      <c r="A108" s="32" t="s">
        <v>156</v>
      </c>
      <c r="B108" s="21">
        <v>0.2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4" hidden="1">
      <c r="A109" s="32" t="s">
        <v>154</v>
      </c>
      <c r="B109" s="23"/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f t="shared" ref="O109:O110" si="50">SUM(C109:N109)</f>
        <v>0</v>
      </c>
      <c r="P109" s="29">
        <v>0</v>
      </c>
      <c r="Q109" s="29">
        <v>0</v>
      </c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30" hidden="1" customHeight="1">
      <c r="A110" s="4" t="s">
        <v>138</v>
      </c>
      <c r="B110" s="23"/>
      <c r="C110" s="29">
        <f t="shared" ref="C110:N110" si="51">($B$77*(C96+C97))+($B$81*(C100+C101))+($B$83*(C102+C103))+($B$85*(C104+C105))+($B$87*(C106+C107))+($B$89*(C108+C109))</f>
        <v>0</v>
      </c>
      <c r="D110" s="29">
        <f t="shared" si="51"/>
        <v>0</v>
      </c>
      <c r="E110" s="29">
        <f t="shared" si="51"/>
        <v>0</v>
      </c>
      <c r="F110" s="29">
        <f t="shared" si="51"/>
        <v>0</v>
      </c>
      <c r="G110" s="29">
        <f t="shared" si="51"/>
        <v>0</v>
      </c>
      <c r="H110" s="29">
        <f t="shared" si="51"/>
        <v>0</v>
      </c>
      <c r="I110" s="29">
        <f t="shared" si="51"/>
        <v>0</v>
      </c>
      <c r="J110" s="29">
        <f t="shared" si="51"/>
        <v>0</v>
      </c>
      <c r="K110" s="29">
        <f t="shared" si="51"/>
        <v>0</v>
      </c>
      <c r="L110" s="29">
        <f t="shared" si="51"/>
        <v>0</v>
      </c>
      <c r="M110" s="29">
        <f t="shared" si="51"/>
        <v>0</v>
      </c>
      <c r="N110" s="29">
        <f t="shared" si="51"/>
        <v>0</v>
      </c>
      <c r="O110" s="29">
        <f t="shared" si="50"/>
        <v>0</v>
      </c>
      <c r="P110" s="29">
        <f t="shared" ref="P110:Q110" si="52">($B$77*(P96+P97))+($B$81*(P100+P101))+($B$83*(P102+P103))+($B$85*(P104+P105))+($B$87*(P106+P107))+($B$89*(P108+P109))</f>
        <v>0</v>
      </c>
      <c r="Q110" s="29">
        <f t="shared" si="52"/>
        <v>0</v>
      </c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4" hidden="1">
      <c r="A111" s="61" t="s">
        <v>139</v>
      </c>
      <c r="B111" s="82"/>
      <c r="C111" s="62">
        <f t="shared" ref="C111:Q111" si="53">SUM(C96:C110)</f>
        <v>0</v>
      </c>
      <c r="D111" s="62">
        <f t="shared" si="53"/>
        <v>0</v>
      </c>
      <c r="E111" s="62">
        <f t="shared" si="53"/>
        <v>0</v>
      </c>
      <c r="F111" s="62">
        <f t="shared" si="53"/>
        <v>0</v>
      </c>
      <c r="G111" s="62">
        <f t="shared" si="53"/>
        <v>0</v>
      </c>
      <c r="H111" s="62">
        <f t="shared" si="53"/>
        <v>0</v>
      </c>
      <c r="I111" s="62">
        <f t="shared" si="53"/>
        <v>0</v>
      </c>
      <c r="J111" s="62">
        <f t="shared" si="53"/>
        <v>0</v>
      </c>
      <c r="K111" s="62">
        <f t="shared" si="53"/>
        <v>0</v>
      </c>
      <c r="L111" s="62">
        <f t="shared" si="53"/>
        <v>0</v>
      </c>
      <c r="M111" s="62">
        <f t="shared" si="53"/>
        <v>0</v>
      </c>
      <c r="N111" s="62">
        <f t="shared" si="53"/>
        <v>0</v>
      </c>
      <c r="O111" s="62">
        <f t="shared" si="53"/>
        <v>0</v>
      </c>
      <c r="P111" s="62">
        <f t="shared" si="53"/>
        <v>0</v>
      </c>
      <c r="Q111" s="62">
        <f t="shared" si="53"/>
        <v>0</v>
      </c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4" hidden="1">
      <c r="A112" s="19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6" hidden="1">
      <c r="A113" s="24" t="s">
        <v>137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8.5" hidden="1" customHeight="1">
      <c r="A114" s="19"/>
      <c r="B114" s="4" t="s">
        <v>127</v>
      </c>
      <c r="C114" s="83" t="s">
        <v>140</v>
      </c>
      <c r="D114" s="83" t="s">
        <v>141</v>
      </c>
      <c r="E114" s="83" t="s">
        <v>142</v>
      </c>
      <c r="F114" s="83" t="s">
        <v>143</v>
      </c>
      <c r="G114" s="83" t="s">
        <v>144</v>
      </c>
      <c r="H114" s="83" t="s">
        <v>145</v>
      </c>
      <c r="I114" s="83" t="s">
        <v>146</v>
      </c>
      <c r="J114" s="83" t="s">
        <v>147</v>
      </c>
      <c r="K114" s="83" t="s">
        <v>148</v>
      </c>
      <c r="L114" s="83" t="s">
        <v>149</v>
      </c>
      <c r="M114" s="83" t="s">
        <v>150</v>
      </c>
      <c r="N114" s="83" t="s">
        <v>151</v>
      </c>
      <c r="O114" s="23" t="s">
        <v>85</v>
      </c>
      <c r="P114" s="23" t="s">
        <v>87</v>
      </c>
      <c r="Q114" s="23" t="s">
        <v>89</v>
      </c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4" hidden="1">
      <c r="A115" s="32" t="s">
        <v>137</v>
      </c>
      <c r="B115" s="21">
        <v>0.2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f t="shared" ref="O115:O129" si="54">SUM(C115:N115)</f>
        <v>0</v>
      </c>
      <c r="P115" s="29">
        <f t="shared" ref="P115:Q115" si="55">O115</f>
        <v>0</v>
      </c>
      <c r="Q115" s="29">
        <f t="shared" si="55"/>
        <v>0</v>
      </c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4" hidden="1">
      <c r="A116" s="32" t="s">
        <v>137</v>
      </c>
      <c r="B116" s="23"/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f t="shared" si="54"/>
        <v>0</v>
      </c>
      <c r="P116" s="29">
        <f t="shared" ref="P116:Q116" si="56">O116</f>
        <v>0</v>
      </c>
      <c r="Q116" s="29">
        <f t="shared" si="56"/>
        <v>0</v>
      </c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4" hidden="1">
      <c r="A117" s="32" t="s">
        <v>137</v>
      </c>
      <c r="B117" s="21">
        <v>0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f t="shared" si="54"/>
        <v>0</v>
      </c>
      <c r="P117" s="29">
        <f t="shared" ref="P117:Q117" si="57">O117</f>
        <v>0</v>
      </c>
      <c r="Q117" s="29">
        <f t="shared" si="57"/>
        <v>0</v>
      </c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4" hidden="1">
      <c r="A118" s="32" t="s">
        <v>137</v>
      </c>
      <c r="B118" s="23"/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f t="shared" si="54"/>
        <v>0</v>
      </c>
      <c r="P118" s="29">
        <f t="shared" ref="P118:Q118" si="58">O118</f>
        <v>0</v>
      </c>
      <c r="Q118" s="29">
        <f t="shared" si="58"/>
        <v>0</v>
      </c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4" hidden="1">
      <c r="A119" s="32" t="s">
        <v>137</v>
      </c>
      <c r="B119" s="21">
        <v>0.2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f t="shared" si="54"/>
        <v>0</v>
      </c>
      <c r="P119" s="29">
        <f t="shared" ref="P119:Q119" si="59">O119</f>
        <v>0</v>
      </c>
      <c r="Q119" s="29">
        <f t="shared" si="59"/>
        <v>0</v>
      </c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4" hidden="1">
      <c r="A120" s="32" t="s">
        <v>137</v>
      </c>
      <c r="B120" s="23"/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f t="shared" si="54"/>
        <v>0</v>
      </c>
      <c r="P120" s="29">
        <f t="shared" ref="P120:Q120" si="60">O120</f>
        <v>0</v>
      </c>
      <c r="Q120" s="29">
        <f t="shared" si="60"/>
        <v>0</v>
      </c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4" hidden="1">
      <c r="A121" s="32" t="s">
        <v>137</v>
      </c>
      <c r="B121" s="21">
        <v>0.2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f t="shared" si="54"/>
        <v>0</v>
      </c>
      <c r="P121" s="29">
        <f t="shared" ref="P121:Q121" si="61">O121</f>
        <v>0</v>
      </c>
      <c r="Q121" s="29">
        <f t="shared" si="61"/>
        <v>0</v>
      </c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4" hidden="1">
      <c r="A122" s="32" t="s">
        <v>137</v>
      </c>
      <c r="B122" s="23"/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f t="shared" si="54"/>
        <v>0</v>
      </c>
      <c r="P122" s="29">
        <f t="shared" ref="P122:Q122" si="62">O122</f>
        <v>0</v>
      </c>
      <c r="Q122" s="29">
        <f t="shared" si="62"/>
        <v>0</v>
      </c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4" hidden="1">
      <c r="A123" s="32" t="s">
        <v>137</v>
      </c>
      <c r="B123" s="21">
        <v>0.2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f t="shared" si="54"/>
        <v>0</v>
      </c>
      <c r="P123" s="29">
        <f t="shared" ref="P123:Q123" si="63">O123</f>
        <v>0</v>
      </c>
      <c r="Q123" s="29">
        <f t="shared" si="63"/>
        <v>0</v>
      </c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4" hidden="1">
      <c r="A124" s="32" t="s">
        <v>137</v>
      </c>
      <c r="B124" s="23"/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f t="shared" si="54"/>
        <v>0</v>
      </c>
      <c r="P124" s="29">
        <f t="shared" ref="P124:Q124" si="64">O124</f>
        <v>0</v>
      </c>
      <c r="Q124" s="29">
        <f t="shared" si="64"/>
        <v>0</v>
      </c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4" hidden="1">
      <c r="A125" s="32" t="s">
        <v>137</v>
      </c>
      <c r="B125" s="21">
        <v>0.2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>
        <f t="shared" si="54"/>
        <v>0</v>
      </c>
      <c r="P125" s="29">
        <f t="shared" ref="P125:Q125" si="65">O125</f>
        <v>0</v>
      </c>
      <c r="Q125" s="29">
        <f t="shared" si="65"/>
        <v>0</v>
      </c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4" hidden="1">
      <c r="A126" s="32" t="s">
        <v>137</v>
      </c>
      <c r="B126" s="23"/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f t="shared" si="54"/>
        <v>0</v>
      </c>
      <c r="P126" s="29">
        <f t="shared" ref="P126:Q126" si="66">O126</f>
        <v>0</v>
      </c>
      <c r="Q126" s="29">
        <f t="shared" si="66"/>
        <v>0</v>
      </c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4" hidden="1">
      <c r="A127" s="32" t="s">
        <v>137</v>
      </c>
      <c r="B127" s="21">
        <v>0.2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f t="shared" si="54"/>
        <v>0</v>
      </c>
      <c r="P127" s="29">
        <f t="shared" ref="P127:Q127" si="67">O127</f>
        <v>0</v>
      </c>
      <c r="Q127" s="29">
        <f t="shared" si="67"/>
        <v>0</v>
      </c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4" hidden="1">
      <c r="A128" s="32" t="s">
        <v>137</v>
      </c>
      <c r="B128" s="23"/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f t="shared" si="54"/>
        <v>0</v>
      </c>
      <c r="P128" s="29">
        <v>0</v>
      </c>
      <c r="Q128" s="29">
        <v>0</v>
      </c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30" hidden="1" customHeight="1">
      <c r="A129" s="4" t="s">
        <v>138</v>
      </c>
      <c r="B129" s="23"/>
      <c r="C129" s="29">
        <f t="shared" ref="C129:N129" si="68">($B$77*(C115+C116))+($B$81*(C119+C120))+($B$83*(C121+C122))+($B$85*(C123+C124))+($B$87*(C125+C126))+($B$89*(C127+C128))</f>
        <v>0</v>
      </c>
      <c r="D129" s="29">
        <f t="shared" si="68"/>
        <v>0</v>
      </c>
      <c r="E129" s="29">
        <f t="shared" si="68"/>
        <v>0</v>
      </c>
      <c r="F129" s="29">
        <f t="shared" si="68"/>
        <v>0</v>
      </c>
      <c r="G129" s="29">
        <f t="shared" si="68"/>
        <v>0</v>
      </c>
      <c r="H129" s="29">
        <f t="shared" si="68"/>
        <v>0</v>
      </c>
      <c r="I129" s="29">
        <f t="shared" si="68"/>
        <v>0</v>
      </c>
      <c r="J129" s="29">
        <f t="shared" si="68"/>
        <v>0</v>
      </c>
      <c r="K129" s="29">
        <f t="shared" si="68"/>
        <v>0</v>
      </c>
      <c r="L129" s="29">
        <f t="shared" si="68"/>
        <v>0</v>
      </c>
      <c r="M129" s="29">
        <f t="shared" si="68"/>
        <v>0</v>
      </c>
      <c r="N129" s="29">
        <f t="shared" si="68"/>
        <v>0</v>
      </c>
      <c r="O129" s="29">
        <f t="shared" si="54"/>
        <v>0</v>
      </c>
      <c r="P129" s="29">
        <f t="shared" ref="P129:Q129" si="69">($B$77*(P115+P116))+($B$81*(P119+P120))+($B$83*(P121+P122))+($B$85*(P123+P124))+($B$87*(P125+P126))+($B$89*(P127+P128))</f>
        <v>0</v>
      </c>
      <c r="Q129" s="29">
        <f t="shared" si="69"/>
        <v>0</v>
      </c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4" hidden="1">
      <c r="A130" s="61" t="s">
        <v>139</v>
      </c>
      <c r="B130" s="82"/>
      <c r="C130" s="62">
        <f t="shared" ref="C130:Q130" si="70">SUM(C115:C129)</f>
        <v>0</v>
      </c>
      <c r="D130" s="62">
        <f t="shared" si="70"/>
        <v>0</v>
      </c>
      <c r="E130" s="62">
        <f t="shared" si="70"/>
        <v>0</v>
      </c>
      <c r="F130" s="62">
        <f t="shared" si="70"/>
        <v>0</v>
      </c>
      <c r="G130" s="62">
        <f t="shared" si="70"/>
        <v>0</v>
      </c>
      <c r="H130" s="62">
        <f t="shared" si="70"/>
        <v>0</v>
      </c>
      <c r="I130" s="62">
        <f t="shared" si="70"/>
        <v>0</v>
      </c>
      <c r="J130" s="62">
        <f t="shared" si="70"/>
        <v>0</v>
      </c>
      <c r="K130" s="62">
        <f t="shared" si="70"/>
        <v>0</v>
      </c>
      <c r="L130" s="62">
        <f t="shared" si="70"/>
        <v>0</v>
      </c>
      <c r="M130" s="62">
        <f t="shared" si="70"/>
        <v>0</v>
      </c>
      <c r="N130" s="62">
        <f t="shared" si="70"/>
        <v>0</v>
      </c>
      <c r="O130" s="62">
        <f t="shared" si="70"/>
        <v>0</v>
      </c>
      <c r="P130" s="62">
        <f t="shared" si="70"/>
        <v>0</v>
      </c>
      <c r="Q130" s="62">
        <f t="shared" si="70"/>
        <v>0</v>
      </c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4" hidden="1">
      <c r="A131" s="19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4" hidden="1">
      <c r="A132" s="19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6">
      <c r="A133" s="24" t="s">
        <v>157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9"/>
      <c r="B134" s="5" t="s">
        <v>2</v>
      </c>
      <c r="C134" s="6" t="s">
        <v>3</v>
      </c>
      <c r="D134" s="6" t="s">
        <v>4</v>
      </c>
      <c r="E134" s="5" t="s">
        <v>5</v>
      </c>
      <c r="F134" s="6" t="s">
        <v>6</v>
      </c>
      <c r="G134" s="6" t="s">
        <v>7</v>
      </c>
      <c r="H134" s="5" t="s">
        <v>8</v>
      </c>
      <c r="I134" s="6" t="s">
        <v>9</v>
      </c>
      <c r="J134" s="6" t="s">
        <v>10</v>
      </c>
      <c r="K134" s="5" t="s">
        <v>11</v>
      </c>
      <c r="L134" s="6" t="s">
        <v>12</v>
      </c>
      <c r="M134" s="6" t="s">
        <v>13</v>
      </c>
      <c r="N134" s="7" t="s">
        <v>14</v>
      </c>
      <c r="O134" s="7" t="s">
        <v>15</v>
      </c>
      <c r="P134" s="7" t="s">
        <v>16</v>
      </c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32" t="s">
        <v>158</v>
      </c>
      <c r="B135" s="29">
        <v>700</v>
      </c>
      <c r="C135" s="29">
        <v>700</v>
      </c>
      <c r="D135" s="29">
        <v>700</v>
      </c>
      <c r="E135" s="29">
        <v>700</v>
      </c>
      <c r="F135" s="29">
        <v>700</v>
      </c>
      <c r="G135" s="29">
        <v>700</v>
      </c>
      <c r="H135" s="29">
        <v>700</v>
      </c>
      <c r="I135" s="29">
        <v>700</v>
      </c>
      <c r="J135" s="29">
        <v>700</v>
      </c>
      <c r="K135" s="29">
        <v>700</v>
      </c>
      <c r="L135" s="29">
        <v>700</v>
      </c>
      <c r="M135" s="29">
        <v>700</v>
      </c>
      <c r="N135" s="29">
        <f t="shared" ref="N135:N139" si="71">SUM(B135:M135)</f>
        <v>8400</v>
      </c>
      <c r="O135" s="29">
        <f>M135*12</f>
        <v>8400</v>
      </c>
      <c r="P135" s="29">
        <f>O135</f>
        <v>8400</v>
      </c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32" t="s">
        <v>159</v>
      </c>
      <c r="B136" s="29">
        <v>600</v>
      </c>
      <c r="C136" s="29">
        <v>600</v>
      </c>
      <c r="D136" s="29">
        <v>600</v>
      </c>
      <c r="E136" s="29">
        <v>600</v>
      </c>
      <c r="F136" s="29">
        <v>600</v>
      </c>
      <c r="G136" s="29">
        <v>600</v>
      </c>
      <c r="H136" s="29">
        <v>600</v>
      </c>
      <c r="I136" s="29">
        <v>600</v>
      </c>
      <c r="J136" s="29">
        <v>600</v>
      </c>
      <c r="K136" s="29">
        <v>600</v>
      </c>
      <c r="L136" s="29">
        <v>600</v>
      </c>
      <c r="M136" s="29">
        <v>600</v>
      </c>
      <c r="N136" s="29">
        <f t="shared" si="71"/>
        <v>7200</v>
      </c>
      <c r="O136" s="29">
        <f t="shared" ref="O136:P136" si="72">N136</f>
        <v>7200</v>
      </c>
      <c r="P136" s="29">
        <f t="shared" si="72"/>
        <v>7200</v>
      </c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32" t="s">
        <v>61</v>
      </c>
      <c r="B137" s="29">
        <v>1000</v>
      </c>
      <c r="C137" s="29">
        <v>1000</v>
      </c>
      <c r="D137" s="29">
        <v>1000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1000</v>
      </c>
      <c r="L137" s="29">
        <v>1000</v>
      </c>
      <c r="M137" s="29">
        <v>1000</v>
      </c>
      <c r="N137" s="29">
        <f t="shared" si="71"/>
        <v>6000</v>
      </c>
      <c r="O137" s="29">
        <f>ROUND(12*$C$137*1.3,-2)</f>
        <v>15600</v>
      </c>
      <c r="P137" s="29">
        <f>ROUND(12*$C$137*1.6,-2)</f>
        <v>19200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hidden="1" customHeight="1">
      <c r="A138" s="32" t="s">
        <v>162</v>
      </c>
      <c r="B138" s="29">
        <v>0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f t="shared" si="71"/>
        <v>0</v>
      </c>
      <c r="O138" s="29">
        <v>0</v>
      </c>
      <c r="P138" s="29">
        <v>0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32" t="s">
        <v>163</v>
      </c>
      <c r="B139" s="29">
        <v>120</v>
      </c>
      <c r="C139" s="29">
        <v>120</v>
      </c>
      <c r="D139" s="29">
        <v>120</v>
      </c>
      <c r="E139" s="29">
        <v>120</v>
      </c>
      <c r="F139" s="29">
        <v>120</v>
      </c>
      <c r="G139" s="29">
        <v>120</v>
      </c>
      <c r="H139" s="29">
        <v>120</v>
      </c>
      <c r="I139" s="29">
        <v>120</v>
      </c>
      <c r="J139" s="29">
        <v>120</v>
      </c>
      <c r="K139" s="29">
        <v>120</v>
      </c>
      <c r="L139" s="29">
        <v>120</v>
      </c>
      <c r="M139" s="29">
        <v>120</v>
      </c>
      <c r="N139" s="29">
        <f t="shared" si="71"/>
        <v>1440</v>
      </c>
      <c r="O139" s="29">
        <f>ROUND(12*$C$137*1.3,-2)</f>
        <v>15600</v>
      </c>
      <c r="P139" s="29">
        <f>ROUND(12*$C$137*1.6,-2)</f>
        <v>19200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77" t="s">
        <v>113</v>
      </c>
      <c r="B140" s="62">
        <f t="shared" ref="B140:P140" si="73">SUM(B135:B139)</f>
        <v>2420</v>
      </c>
      <c r="C140" s="62">
        <f t="shared" si="73"/>
        <v>2420</v>
      </c>
      <c r="D140" s="62">
        <f t="shared" si="73"/>
        <v>2420</v>
      </c>
      <c r="E140" s="62">
        <f t="shared" si="73"/>
        <v>1420</v>
      </c>
      <c r="F140" s="62">
        <f t="shared" si="73"/>
        <v>1420</v>
      </c>
      <c r="G140" s="62">
        <f t="shared" si="73"/>
        <v>1420</v>
      </c>
      <c r="H140" s="62">
        <f t="shared" si="73"/>
        <v>1420</v>
      </c>
      <c r="I140" s="62">
        <f t="shared" si="73"/>
        <v>1420</v>
      </c>
      <c r="J140" s="62">
        <f t="shared" si="73"/>
        <v>1420</v>
      </c>
      <c r="K140" s="62">
        <f t="shared" si="73"/>
        <v>2420</v>
      </c>
      <c r="L140" s="62">
        <f t="shared" si="73"/>
        <v>2420</v>
      </c>
      <c r="M140" s="62">
        <f t="shared" si="73"/>
        <v>2420</v>
      </c>
      <c r="N140" s="62">
        <f t="shared" si="73"/>
        <v>23040</v>
      </c>
      <c r="O140" s="62">
        <f t="shared" si="73"/>
        <v>46800</v>
      </c>
      <c r="P140" s="62">
        <f t="shared" si="73"/>
        <v>54000</v>
      </c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.75" customHeight="1">
      <c r="A141" s="19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6">
      <c r="A142" s="3" t="s">
        <v>164</v>
      </c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9"/>
      <c r="B143" s="5" t="s">
        <v>2</v>
      </c>
      <c r="C143" s="6" t="s">
        <v>3</v>
      </c>
      <c r="D143" s="6" t="s">
        <v>4</v>
      </c>
      <c r="E143" s="5" t="s">
        <v>5</v>
      </c>
      <c r="F143" s="6" t="s">
        <v>6</v>
      </c>
      <c r="G143" s="6" t="s">
        <v>7</v>
      </c>
      <c r="H143" s="5" t="s">
        <v>8</v>
      </c>
      <c r="I143" s="6" t="s">
        <v>9</v>
      </c>
      <c r="J143" s="6" t="s">
        <v>10</v>
      </c>
      <c r="K143" s="5" t="s">
        <v>11</v>
      </c>
      <c r="L143" s="6" t="s">
        <v>12</v>
      </c>
      <c r="M143" s="6" t="s">
        <v>13</v>
      </c>
      <c r="N143" s="7" t="s">
        <v>14</v>
      </c>
      <c r="O143" s="7" t="s">
        <v>15</v>
      </c>
      <c r="P143" s="7" t="s">
        <v>16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4" t="s">
        <v>165</v>
      </c>
      <c r="B144" s="29">
        <v>100</v>
      </c>
      <c r="C144" s="29">
        <v>100</v>
      </c>
      <c r="D144" s="29">
        <v>100</v>
      </c>
      <c r="E144" s="29">
        <v>100</v>
      </c>
      <c r="F144" s="29">
        <v>100</v>
      </c>
      <c r="G144" s="29">
        <v>100</v>
      </c>
      <c r="H144" s="29">
        <v>100</v>
      </c>
      <c r="I144" s="29">
        <v>100</v>
      </c>
      <c r="J144" s="29">
        <v>100</v>
      </c>
      <c r="K144" s="29">
        <v>100</v>
      </c>
      <c r="L144" s="29">
        <v>100</v>
      </c>
      <c r="M144" s="29">
        <v>100</v>
      </c>
      <c r="N144" s="29">
        <f t="shared" ref="N144:N153" si="74">SUM(B144:M144)</f>
        <v>1200</v>
      </c>
      <c r="O144" s="29">
        <f t="shared" ref="O144:P144" si="75">N144*1.4</f>
        <v>1680</v>
      </c>
      <c r="P144" s="29">
        <f t="shared" si="75"/>
        <v>2352</v>
      </c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4">
      <c r="A145" s="4" t="s">
        <v>166</v>
      </c>
      <c r="B145" s="29">
        <v>200</v>
      </c>
      <c r="C145" s="29">
        <v>0</v>
      </c>
      <c r="D145" s="29">
        <v>0</v>
      </c>
      <c r="E145" s="29">
        <v>0</v>
      </c>
      <c r="F145" s="29">
        <v>200</v>
      </c>
      <c r="G145" s="29">
        <v>0</v>
      </c>
      <c r="H145" s="29">
        <v>0</v>
      </c>
      <c r="I145" s="29">
        <v>0</v>
      </c>
      <c r="J145" s="29">
        <v>200</v>
      </c>
      <c r="K145" s="29">
        <v>0</v>
      </c>
      <c r="L145" s="29">
        <v>0</v>
      </c>
      <c r="M145" s="29">
        <v>200</v>
      </c>
      <c r="N145" s="29">
        <f t="shared" si="74"/>
        <v>800</v>
      </c>
      <c r="O145" s="29">
        <f t="shared" ref="O145:P145" si="76">N145*1.4</f>
        <v>1120</v>
      </c>
      <c r="P145" s="29">
        <f t="shared" si="76"/>
        <v>1568</v>
      </c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4" t="s">
        <v>167</v>
      </c>
      <c r="B146" s="29">
        <v>0</v>
      </c>
      <c r="C146" s="29">
        <v>0</v>
      </c>
      <c r="D146" s="29">
        <v>0</v>
      </c>
      <c r="E146" s="29">
        <v>0</v>
      </c>
      <c r="F146" s="29">
        <v>800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>
        <f t="shared" si="74"/>
        <v>800</v>
      </c>
      <c r="O146" s="29">
        <f t="shared" ref="O146:P146" si="77">N146*1.4</f>
        <v>1120</v>
      </c>
      <c r="P146" s="29">
        <f t="shared" si="77"/>
        <v>1568</v>
      </c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4" t="s">
        <v>168</v>
      </c>
      <c r="B147" s="29">
        <v>200</v>
      </c>
      <c r="C147" s="29">
        <v>200</v>
      </c>
      <c r="D147" s="29">
        <v>200</v>
      </c>
      <c r="E147" s="29">
        <v>200</v>
      </c>
      <c r="F147" s="29">
        <v>200</v>
      </c>
      <c r="G147" s="29">
        <v>200</v>
      </c>
      <c r="H147" s="29">
        <v>200</v>
      </c>
      <c r="I147" s="29">
        <v>200</v>
      </c>
      <c r="J147" s="29">
        <v>200</v>
      </c>
      <c r="K147" s="29">
        <v>200</v>
      </c>
      <c r="L147" s="29">
        <v>200</v>
      </c>
      <c r="M147" s="29">
        <v>200</v>
      </c>
      <c r="N147" s="29">
        <f t="shared" si="74"/>
        <v>2400</v>
      </c>
      <c r="O147" s="29">
        <f t="shared" ref="O147:P147" si="78">N147*1.4</f>
        <v>3360</v>
      </c>
      <c r="P147" s="29">
        <f t="shared" si="78"/>
        <v>4704</v>
      </c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32" t="s">
        <v>169</v>
      </c>
      <c r="B148" s="29">
        <v>20</v>
      </c>
      <c r="C148" s="29">
        <v>20</v>
      </c>
      <c r="D148" s="29">
        <v>20</v>
      </c>
      <c r="E148" s="29">
        <v>20</v>
      </c>
      <c r="F148" s="29">
        <v>20</v>
      </c>
      <c r="G148" s="29">
        <v>20</v>
      </c>
      <c r="H148" s="29">
        <v>20</v>
      </c>
      <c r="I148" s="29">
        <v>20</v>
      </c>
      <c r="J148" s="29">
        <v>20</v>
      </c>
      <c r="K148" s="29">
        <v>20</v>
      </c>
      <c r="L148" s="29">
        <v>20</v>
      </c>
      <c r="M148" s="29">
        <v>20</v>
      </c>
      <c r="N148" s="29">
        <f t="shared" si="74"/>
        <v>240</v>
      </c>
      <c r="O148" s="29">
        <f t="shared" ref="O148:P148" si="79">N148*1.4</f>
        <v>336</v>
      </c>
      <c r="P148" s="29">
        <f t="shared" si="79"/>
        <v>470.4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hidden="1" customHeight="1">
      <c r="A149" s="32" t="s">
        <v>170</v>
      </c>
      <c r="B149" s="29">
        <v>0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f t="shared" si="74"/>
        <v>0</v>
      </c>
      <c r="O149" s="29">
        <f t="shared" ref="O149:P149" si="80">N149*1.4</f>
        <v>0</v>
      </c>
      <c r="P149" s="29">
        <f t="shared" si="80"/>
        <v>0</v>
      </c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hidden="1" customHeight="1">
      <c r="A150" s="32" t="s">
        <v>171</v>
      </c>
      <c r="B150" s="29">
        <v>0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f t="shared" si="74"/>
        <v>0</v>
      </c>
      <c r="O150" s="29">
        <f t="shared" ref="O150:P150" si="81">N150*1.4</f>
        <v>0</v>
      </c>
      <c r="P150" s="29">
        <f t="shared" si="81"/>
        <v>0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hidden="1" customHeight="1">
      <c r="A151" s="32" t="s">
        <v>172</v>
      </c>
      <c r="B151" s="29">
        <v>0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>
        <f t="shared" si="74"/>
        <v>0</v>
      </c>
      <c r="O151" s="29">
        <f t="shared" ref="O151:P151" si="82">N151*1.4</f>
        <v>0</v>
      </c>
      <c r="P151" s="29">
        <f t="shared" si="82"/>
        <v>0</v>
      </c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4" t="s">
        <v>173</v>
      </c>
      <c r="B152" s="29">
        <v>10</v>
      </c>
      <c r="C152" s="29">
        <v>10</v>
      </c>
      <c r="D152" s="29">
        <v>10</v>
      </c>
      <c r="E152" s="29">
        <v>10</v>
      </c>
      <c r="F152" s="29">
        <v>10</v>
      </c>
      <c r="G152" s="29">
        <v>10</v>
      </c>
      <c r="H152" s="29">
        <v>10</v>
      </c>
      <c r="I152" s="29">
        <v>10</v>
      </c>
      <c r="J152" s="29">
        <v>10</v>
      </c>
      <c r="K152" s="29">
        <v>10</v>
      </c>
      <c r="L152" s="29">
        <v>10</v>
      </c>
      <c r="M152" s="29">
        <v>10</v>
      </c>
      <c r="N152" s="29">
        <f t="shared" si="74"/>
        <v>120</v>
      </c>
      <c r="O152" s="29">
        <f t="shared" ref="O152:P152" si="83">N152*1.4</f>
        <v>168</v>
      </c>
      <c r="P152" s="29">
        <f t="shared" si="83"/>
        <v>235.2</v>
      </c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77" t="s">
        <v>113</v>
      </c>
      <c r="B153" s="62">
        <f t="shared" ref="B153:M153" si="84">SUM(B144:B152)</f>
        <v>530</v>
      </c>
      <c r="C153" s="62">
        <f t="shared" si="84"/>
        <v>330</v>
      </c>
      <c r="D153" s="62">
        <f t="shared" si="84"/>
        <v>330</v>
      </c>
      <c r="E153" s="62">
        <f t="shared" si="84"/>
        <v>330</v>
      </c>
      <c r="F153" s="62">
        <f t="shared" si="84"/>
        <v>1330</v>
      </c>
      <c r="G153" s="62">
        <f t="shared" si="84"/>
        <v>330</v>
      </c>
      <c r="H153" s="62">
        <f t="shared" si="84"/>
        <v>330</v>
      </c>
      <c r="I153" s="62">
        <f t="shared" si="84"/>
        <v>330</v>
      </c>
      <c r="J153" s="62">
        <f t="shared" si="84"/>
        <v>530</v>
      </c>
      <c r="K153" s="62">
        <f t="shared" si="84"/>
        <v>330</v>
      </c>
      <c r="L153" s="62">
        <f t="shared" si="84"/>
        <v>330</v>
      </c>
      <c r="M153" s="62">
        <f t="shared" si="84"/>
        <v>530</v>
      </c>
      <c r="N153" s="62">
        <f t="shared" si="74"/>
        <v>5560</v>
      </c>
      <c r="O153" s="62">
        <f t="shared" ref="O153:P153" si="85">SUM(O144:O152)</f>
        <v>7784</v>
      </c>
      <c r="P153" s="62">
        <f t="shared" si="85"/>
        <v>10897.6</v>
      </c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.75" customHeight="1">
      <c r="A154" s="19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6">
      <c r="A155" s="3" t="s">
        <v>174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9"/>
      <c r="B156" s="5" t="s">
        <v>2</v>
      </c>
      <c r="C156" s="6" t="s">
        <v>3</v>
      </c>
      <c r="D156" s="6" t="s">
        <v>4</v>
      </c>
      <c r="E156" s="5" t="s">
        <v>5</v>
      </c>
      <c r="F156" s="6" t="s">
        <v>6</v>
      </c>
      <c r="G156" s="6" t="s">
        <v>7</v>
      </c>
      <c r="H156" s="5" t="s">
        <v>8</v>
      </c>
      <c r="I156" s="6" t="s">
        <v>9</v>
      </c>
      <c r="J156" s="6" t="s">
        <v>10</v>
      </c>
      <c r="K156" s="5" t="s">
        <v>11</v>
      </c>
      <c r="L156" s="6" t="s">
        <v>12</v>
      </c>
      <c r="M156" s="6" t="s">
        <v>13</v>
      </c>
      <c r="N156" s="7" t="s">
        <v>14</v>
      </c>
      <c r="O156" s="7" t="s">
        <v>15</v>
      </c>
      <c r="P156" s="7" t="s">
        <v>16</v>
      </c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4" t="s">
        <v>175</v>
      </c>
      <c r="B157" s="29">
        <v>200</v>
      </c>
      <c r="C157" s="29">
        <v>200</v>
      </c>
      <c r="D157" s="29">
        <v>200</v>
      </c>
      <c r="E157" s="29">
        <v>200</v>
      </c>
      <c r="F157" s="29">
        <v>200</v>
      </c>
      <c r="G157" s="29">
        <v>200</v>
      </c>
      <c r="H157" s="29">
        <v>200</v>
      </c>
      <c r="I157" s="29">
        <v>200</v>
      </c>
      <c r="J157" s="29">
        <v>200</v>
      </c>
      <c r="K157" s="29">
        <v>200</v>
      </c>
      <c r="L157" s="29">
        <v>200</v>
      </c>
      <c r="M157" s="29">
        <v>200</v>
      </c>
      <c r="N157" s="29">
        <f t="shared" ref="N157:N163" si="86">SUM(B157:M157)</f>
        <v>2400</v>
      </c>
      <c r="O157" s="29">
        <f>ROUND($C157*1.5*12,-2)</f>
        <v>3600</v>
      </c>
      <c r="P157" s="29">
        <f>ROUND($C157*1.8*12,-2)</f>
        <v>4300</v>
      </c>
      <c r="Q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4" t="s">
        <v>176</v>
      </c>
      <c r="B158" s="29">
        <v>800</v>
      </c>
      <c r="C158" s="29">
        <v>100</v>
      </c>
      <c r="D158" s="29">
        <v>100</v>
      </c>
      <c r="E158" s="29">
        <v>100</v>
      </c>
      <c r="F158" s="29">
        <v>100</v>
      </c>
      <c r="G158" s="29">
        <v>100</v>
      </c>
      <c r="H158" s="29">
        <v>100</v>
      </c>
      <c r="I158" s="29">
        <v>100</v>
      </c>
      <c r="J158" s="29">
        <v>100</v>
      </c>
      <c r="K158" s="29">
        <v>100</v>
      </c>
      <c r="L158" s="29">
        <v>100</v>
      </c>
      <c r="M158" s="29">
        <v>100</v>
      </c>
      <c r="N158" s="29">
        <f t="shared" si="86"/>
        <v>1900</v>
      </c>
      <c r="O158" s="29">
        <f>ROUND($C158*1.7*12,-2)</f>
        <v>2000</v>
      </c>
      <c r="P158" s="29">
        <f>ROUND($C158*1.9*12,-2)</f>
        <v>2300</v>
      </c>
      <c r="Q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4" t="s">
        <v>177</v>
      </c>
      <c r="B159" s="29">
        <v>0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40</v>
      </c>
      <c r="I159" s="29">
        <v>40</v>
      </c>
      <c r="J159" s="29">
        <v>40</v>
      </c>
      <c r="K159" s="29">
        <v>40</v>
      </c>
      <c r="L159" s="29">
        <v>40</v>
      </c>
      <c r="M159" s="29">
        <v>500</v>
      </c>
      <c r="N159" s="29">
        <f t="shared" si="86"/>
        <v>700</v>
      </c>
      <c r="O159" s="29">
        <f t="shared" ref="O159:P159" si="87">N159*1.4</f>
        <v>979.99999999999989</v>
      </c>
      <c r="P159" s="29">
        <f t="shared" si="87"/>
        <v>1371.9999999999998</v>
      </c>
      <c r="Q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4" t="s">
        <v>178</v>
      </c>
      <c r="B160" s="29">
        <v>50</v>
      </c>
      <c r="C160" s="29">
        <v>50</v>
      </c>
      <c r="D160" s="29">
        <v>50</v>
      </c>
      <c r="E160" s="29">
        <v>50</v>
      </c>
      <c r="F160" s="29">
        <v>50</v>
      </c>
      <c r="G160" s="29">
        <v>50</v>
      </c>
      <c r="H160" s="29">
        <v>50</v>
      </c>
      <c r="I160" s="29">
        <v>50</v>
      </c>
      <c r="J160" s="29">
        <v>50</v>
      </c>
      <c r="K160" s="29">
        <v>50</v>
      </c>
      <c r="L160" s="29">
        <v>50</v>
      </c>
      <c r="M160" s="29">
        <v>200</v>
      </c>
      <c r="N160" s="29">
        <f t="shared" si="86"/>
        <v>750</v>
      </c>
      <c r="O160" s="29">
        <f t="shared" ref="O160:P160" si="88">N160</f>
        <v>750</v>
      </c>
      <c r="P160" s="29">
        <f t="shared" si="88"/>
        <v>750</v>
      </c>
      <c r="Q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t="s">
        <v>179</v>
      </c>
      <c r="B161" s="29">
        <v>100</v>
      </c>
      <c r="C161" s="29">
        <v>100</v>
      </c>
      <c r="D161" s="29">
        <v>100</v>
      </c>
      <c r="E161" s="29">
        <v>100</v>
      </c>
      <c r="F161" s="29">
        <v>100</v>
      </c>
      <c r="G161" s="29">
        <v>100</v>
      </c>
      <c r="H161" s="29">
        <v>100</v>
      </c>
      <c r="I161" s="29">
        <v>100</v>
      </c>
      <c r="J161" s="29">
        <v>100</v>
      </c>
      <c r="K161" s="29">
        <v>100</v>
      </c>
      <c r="L161" s="29">
        <v>100</v>
      </c>
      <c r="M161" s="29">
        <v>200</v>
      </c>
      <c r="N161" s="29">
        <f t="shared" si="86"/>
        <v>1300</v>
      </c>
      <c r="O161" s="29">
        <f t="shared" ref="O161:P161" si="89">N161</f>
        <v>1300</v>
      </c>
      <c r="P161" s="29">
        <f t="shared" si="89"/>
        <v>1300</v>
      </c>
      <c r="Q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4" t="s">
        <v>180</v>
      </c>
      <c r="B162" s="29">
        <v>120</v>
      </c>
      <c r="C162" s="29">
        <v>120</v>
      </c>
      <c r="D162" s="29">
        <v>120</v>
      </c>
      <c r="E162" s="29">
        <v>120</v>
      </c>
      <c r="F162" s="29">
        <v>120</v>
      </c>
      <c r="G162" s="29">
        <v>120</v>
      </c>
      <c r="H162" s="29">
        <v>120</v>
      </c>
      <c r="I162" s="29">
        <v>120</v>
      </c>
      <c r="J162" s="29">
        <v>120</v>
      </c>
      <c r="K162" s="29">
        <v>120</v>
      </c>
      <c r="L162" s="29">
        <v>120</v>
      </c>
      <c r="M162" s="29">
        <v>120</v>
      </c>
      <c r="N162" s="29">
        <f t="shared" si="86"/>
        <v>1440</v>
      </c>
      <c r="O162" s="29">
        <f t="shared" ref="O162:P162" si="90">N162</f>
        <v>1440</v>
      </c>
      <c r="P162" s="29">
        <f t="shared" si="90"/>
        <v>1440</v>
      </c>
      <c r="Q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4" t="s">
        <v>181</v>
      </c>
      <c r="B163" s="29">
        <v>60</v>
      </c>
      <c r="C163" s="29">
        <v>60</v>
      </c>
      <c r="D163" s="29">
        <v>60</v>
      </c>
      <c r="E163" s="29">
        <v>60</v>
      </c>
      <c r="F163" s="29">
        <v>60</v>
      </c>
      <c r="G163" s="29">
        <v>60</v>
      </c>
      <c r="H163" s="29">
        <v>60</v>
      </c>
      <c r="I163" s="29">
        <v>60</v>
      </c>
      <c r="J163" s="29">
        <v>60</v>
      </c>
      <c r="K163" s="29">
        <v>60</v>
      </c>
      <c r="L163" s="29">
        <v>60</v>
      </c>
      <c r="M163" s="29">
        <v>60</v>
      </c>
      <c r="N163" s="29">
        <f t="shared" si="86"/>
        <v>720</v>
      </c>
      <c r="O163" s="29">
        <v>720</v>
      </c>
      <c r="P163" s="29">
        <v>720</v>
      </c>
      <c r="Q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61" t="s">
        <v>182</v>
      </c>
      <c r="B164" s="62">
        <f t="shared" ref="B164:P164" si="91">SUM(B157:B163)</f>
        <v>1330</v>
      </c>
      <c r="C164" s="62">
        <f t="shared" si="91"/>
        <v>630</v>
      </c>
      <c r="D164" s="62">
        <f t="shared" si="91"/>
        <v>630</v>
      </c>
      <c r="E164" s="62">
        <f t="shared" si="91"/>
        <v>630</v>
      </c>
      <c r="F164" s="62">
        <f t="shared" si="91"/>
        <v>630</v>
      </c>
      <c r="G164" s="62">
        <f t="shared" si="91"/>
        <v>630</v>
      </c>
      <c r="H164" s="62">
        <f t="shared" si="91"/>
        <v>670</v>
      </c>
      <c r="I164" s="62">
        <f t="shared" si="91"/>
        <v>670</v>
      </c>
      <c r="J164" s="62">
        <f t="shared" si="91"/>
        <v>670</v>
      </c>
      <c r="K164" s="62">
        <f t="shared" si="91"/>
        <v>670</v>
      </c>
      <c r="L164" s="62">
        <f t="shared" si="91"/>
        <v>670</v>
      </c>
      <c r="M164" s="62">
        <f t="shared" si="91"/>
        <v>1380</v>
      </c>
      <c r="N164" s="62">
        <f t="shared" si="91"/>
        <v>9210</v>
      </c>
      <c r="O164" s="62">
        <f t="shared" si="91"/>
        <v>10790</v>
      </c>
      <c r="P164" s="62">
        <f t="shared" si="91"/>
        <v>12182</v>
      </c>
      <c r="Q164" s="16"/>
      <c r="T164" s="16"/>
      <c r="U164" s="16"/>
      <c r="V164" s="16"/>
      <c r="W164" s="16"/>
      <c r="X164" s="16"/>
      <c r="Y164" s="16"/>
      <c r="Z164" s="16"/>
    </row>
    <row r="165" spans="1:26" ht="24.75" customHeight="1">
      <c r="A165" s="19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T165" s="16"/>
      <c r="U165" s="16"/>
      <c r="V165" s="16"/>
      <c r="W165" s="16"/>
      <c r="X165" s="16"/>
      <c r="Y165" s="16"/>
      <c r="Z165" s="16"/>
    </row>
    <row r="166" spans="1:26" ht="15.6">
      <c r="A166" s="3" t="s">
        <v>183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9"/>
      <c r="B167" s="5" t="s">
        <v>2</v>
      </c>
      <c r="C167" s="6" t="s">
        <v>3</v>
      </c>
      <c r="D167" s="6" t="s">
        <v>4</v>
      </c>
      <c r="E167" s="5" t="s">
        <v>5</v>
      </c>
      <c r="F167" s="6" t="s">
        <v>6</v>
      </c>
      <c r="G167" s="6" t="s">
        <v>7</v>
      </c>
      <c r="H167" s="5" t="s">
        <v>8</v>
      </c>
      <c r="I167" s="6" t="s">
        <v>9</v>
      </c>
      <c r="J167" s="6" t="s">
        <v>10</v>
      </c>
      <c r="K167" s="5" t="s">
        <v>11</v>
      </c>
      <c r="L167" s="6" t="s">
        <v>12</v>
      </c>
      <c r="M167" s="6" t="s">
        <v>13</v>
      </c>
      <c r="N167" s="7" t="s">
        <v>14</v>
      </c>
      <c r="O167" s="7" t="s">
        <v>15</v>
      </c>
      <c r="P167" s="7" t="s">
        <v>16</v>
      </c>
      <c r="Q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4" t="s">
        <v>183</v>
      </c>
      <c r="B168" s="29">
        <v>50</v>
      </c>
      <c r="C168" s="29">
        <v>50</v>
      </c>
      <c r="D168" s="29">
        <v>50</v>
      </c>
      <c r="E168" s="29">
        <v>150</v>
      </c>
      <c r="F168" s="29">
        <v>50</v>
      </c>
      <c r="G168" s="29">
        <v>500</v>
      </c>
      <c r="H168" s="29">
        <v>500</v>
      </c>
      <c r="I168" s="29">
        <v>500</v>
      </c>
      <c r="J168" s="29">
        <v>500</v>
      </c>
      <c r="K168" s="29">
        <v>150</v>
      </c>
      <c r="L168" s="29">
        <v>50</v>
      </c>
      <c r="M168" s="29">
        <v>50</v>
      </c>
      <c r="N168" s="29">
        <f t="shared" ref="N168:N169" si="92">SUM(B168:M168)</f>
        <v>2600</v>
      </c>
      <c r="O168" s="29">
        <f t="shared" ref="O168:P168" si="93">N168*1.4</f>
        <v>3639.9999999999995</v>
      </c>
      <c r="P168" s="29">
        <f t="shared" si="93"/>
        <v>5095.9999999999991</v>
      </c>
      <c r="Q168" s="16"/>
      <c r="T168" s="16"/>
      <c r="U168" s="16"/>
      <c r="V168" s="16"/>
      <c r="W168" s="16"/>
      <c r="X168" s="16"/>
      <c r="Y168" s="16"/>
      <c r="Z168" s="16"/>
    </row>
    <row r="169" spans="1:26" ht="14.25" hidden="1" customHeight="1">
      <c r="A169" s="32" t="s">
        <v>184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>
        <f t="shared" si="92"/>
        <v>0</v>
      </c>
      <c r="O169" s="29">
        <f t="shared" ref="O169:P169" si="94">N169</f>
        <v>0</v>
      </c>
      <c r="P169" s="29">
        <f t="shared" si="94"/>
        <v>0</v>
      </c>
      <c r="Q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77" t="s">
        <v>113</v>
      </c>
      <c r="B170" s="62">
        <f t="shared" ref="B170:P170" si="95">SUM(B168:B169)</f>
        <v>50</v>
      </c>
      <c r="C170" s="62">
        <f t="shared" si="95"/>
        <v>50</v>
      </c>
      <c r="D170" s="62">
        <f t="shared" si="95"/>
        <v>50</v>
      </c>
      <c r="E170" s="62">
        <f t="shared" si="95"/>
        <v>150</v>
      </c>
      <c r="F170" s="62">
        <f t="shared" si="95"/>
        <v>50</v>
      </c>
      <c r="G170" s="62">
        <f t="shared" si="95"/>
        <v>500</v>
      </c>
      <c r="H170" s="62">
        <f t="shared" si="95"/>
        <v>500</v>
      </c>
      <c r="I170" s="62">
        <f t="shared" si="95"/>
        <v>500</v>
      </c>
      <c r="J170" s="62">
        <f t="shared" si="95"/>
        <v>500</v>
      </c>
      <c r="K170" s="62">
        <f t="shared" si="95"/>
        <v>150</v>
      </c>
      <c r="L170" s="62">
        <f t="shared" si="95"/>
        <v>50</v>
      </c>
      <c r="M170" s="62">
        <f t="shared" si="95"/>
        <v>50</v>
      </c>
      <c r="N170" s="62">
        <f t="shared" si="95"/>
        <v>2600</v>
      </c>
      <c r="O170" s="62">
        <f t="shared" si="95"/>
        <v>3639.9999999999995</v>
      </c>
      <c r="P170" s="62">
        <f t="shared" si="95"/>
        <v>5095.9999999999991</v>
      </c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.75" customHeight="1">
      <c r="A171" s="19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6">
      <c r="A172" s="3" t="s">
        <v>185</v>
      </c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2"/>
      <c r="B173" s="5" t="s">
        <v>2</v>
      </c>
      <c r="C173" s="6" t="s">
        <v>3</v>
      </c>
      <c r="D173" s="6" t="s">
        <v>4</v>
      </c>
      <c r="E173" s="5" t="s">
        <v>5</v>
      </c>
      <c r="F173" s="6" t="s">
        <v>6</v>
      </c>
      <c r="G173" s="6" t="s">
        <v>7</v>
      </c>
      <c r="H173" s="5" t="s">
        <v>8</v>
      </c>
      <c r="I173" s="6" t="s">
        <v>9</v>
      </c>
      <c r="J173" s="6" t="s">
        <v>10</v>
      </c>
      <c r="K173" s="5" t="s">
        <v>11</v>
      </c>
      <c r="L173" s="6" t="s">
        <v>12</v>
      </c>
      <c r="M173" s="6" t="s">
        <v>13</v>
      </c>
      <c r="N173" s="7" t="s">
        <v>14</v>
      </c>
      <c r="O173" s="7" t="s">
        <v>15</v>
      </c>
      <c r="P173" s="7" t="s">
        <v>16</v>
      </c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4" t="s">
        <v>185</v>
      </c>
      <c r="B174" s="29">
        <v>0</v>
      </c>
      <c r="C174" s="29">
        <f t="shared" ref="C174:M174" si="96">IF((C239+C240+C241-C245-C246-C247-C248-C249-C250-C251)&gt;0,(C239+C240+C241-C245-C246-C247-C248-C249-C250-C251)*(1/12)*$B$6,0)</f>
        <v>64.963333333333338</v>
      </c>
      <c r="D174" s="29">
        <f t="shared" si="96"/>
        <v>77.852469444444438</v>
      </c>
      <c r="E174" s="29">
        <f t="shared" si="96"/>
        <v>87.262346502314813</v>
      </c>
      <c r="F174" s="29">
        <f t="shared" si="96"/>
        <v>93.103398457733419</v>
      </c>
      <c r="G174" s="29">
        <f t="shared" si="96"/>
        <v>96.580984623114858</v>
      </c>
      <c r="H174" s="29">
        <f t="shared" si="96"/>
        <v>98.356468776967446</v>
      </c>
      <c r="I174" s="29">
        <f t="shared" si="96"/>
        <v>100.13343250094826</v>
      </c>
      <c r="J174" s="29">
        <f t="shared" si="96"/>
        <v>94.82521036136572</v>
      </c>
      <c r="K174" s="29">
        <f t="shared" si="96"/>
        <v>100.29756470333352</v>
      </c>
      <c r="L174" s="29">
        <f t="shared" si="96"/>
        <v>114.33781267391964</v>
      </c>
      <c r="M174" s="29">
        <f t="shared" si="96"/>
        <v>127.63142751781456</v>
      </c>
      <c r="N174" s="29">
        <f>SUM(B174:M174)</f>
        <v>1055.34444889529</v>
      </c>
      <c r="O174" s="29">
        <f t="shared" ref="O174:P174" si="97">IF((O239+O240+O241-O245-O246-O247-O248-O249-O250-O251)&gt;0,(O239+O240+O241-O245-O246-O247-O248-O249-O250-O251)*0.5*$B$6,0)</f>
        <v>664.75672224447658</v>
      </c>
      <c r="P174" s="29">
        <f t="shared" si="97"/>
        <v>302.50250585569887</v>
      </c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.75" customHeight="1">
      <c r="A175" s="19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6">
      <c r="A176" s="3" t="s">
        <v>81</v>
      </c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2"/>
      <c r="B177" s="5" t="s">
        <v>2</v>
      </c>
      <c r="C177" s="6" t="s">
        <v>3</v>
      </c>
      <c r="D177" s="6" t="s">
        <v>4</v>
      </c>
      <c r="E177" s="5" t="s">
        <v>5</v>
      </c>
      <c r="F177" s="6" t="s">
        <v>6</v>
      </c>
      <c r="G177" s="6" t="s">
        <v>7</v>
      </c>
      <c r="H177" s="5" t="s">
        <v>8</v>
      </c>
      <c r="I177" s="6" t="s">
        <v>9</v>
      </c>
      <c r="J177" s="6" t="s">
        <v>10</v>
      </c>
      <c r="K177" s="5" t="s">
        <v>11</v>
      </c>
      <c r="L177" s="6" t="s">
        <v>12</v>
      </c>
      <c r="M177" s="6" t="s">
        <v>13</v>
      </c>
      <c r="N177" s="7" t="s">
        <v>14</v>
      </c>
      <c r="O177" s="7" t="s">
        <v>15</v>
      </c>
      <c r="P177" s="7" t="s">
        <v>16</v>
      </c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4" t="s">
        <v>188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f t="shared" ref="N178:N180" si="98">SUM(B178:M178)</f>
        <v>0</v>
      </c>
      <c r="O178" s="29">
        <v>100000</v>
      </c>
      <c r="P178" s="29">
        <v>450000</v>
      </c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4" t="s">
        <v>189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f t="shared" si="98"/>
        <v>0</v>
      </c>
      <c r="O179" s="29">
        <v>0</v>
      </c>
      <c r="P179" s="29">
        <v>0</v>
      </c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4" t="s">
        <v>190</v>
      </c>
      <c r="B180" s="29">
        <f>B21</f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f t="shared" si="98"/>
        <v>0</v>
      </c>
      <c r="O180" s="29">
        <v>0</v>
      </c>
      <c r="P180" s="29">
        <v>0</v>
      </c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4" t="s">
        <v>191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4" t="s">
        <v>192</v>
      </c>
      <c r="B182" s="29">
        <f t="shared" ref="B182:M182" si="99">(1/12)*$B$7*C230</f>
        <v>0</v>
      </c>
      <c r="C182" s="29">
        <f t="shared" si="99"/>
        <v>0</v>
      </c>
      <c r="D182" s="29">
        <f t="shared" si="99"/>
        <v>0</v>
      </c>
      <c r="E182" s="29">
        <f t="shared" si="99"/>
        <v>0</v>
      </c>
      <c r="F182" s="29">
        <f t="shared" si="99"/>
        <v>0</v>
      </c>
      <c r="G182" s="29">
        <f t="shared" si="99"/>
        <v>0</v>
      </c>
      <c r="H182" s="29">
        <f t="shared" si="99"/>
        <v>0</v>
      </c>
      <c r="I182" s="29">
        <f t="shared" si="99"/>
        <v>0</v>
      </c>
      <c r="J182" s="29">
        <f t="shared" si="99"/>
        <v>0</v>
      </c>
      <c r="K182" s="29">
        <f t="shared" si="99"/>
        <v>0</v>
      </c>
      <c r="L182" s="29">
        <f t="shared" si="99"/>
        <v>0</v>
      </c>
      <c r="M182" s="29">
        <f t="shared" si="99"/>
        <v>0</v>
      </c>
      <c r="N182" s="29">
        <f>SUM(B182:M182)</f>
        <v>0</v>
      </c>
      <c r="O182" s="29">
        <f t="shared" ref="O182:P182" si="100">O230*$B$7</f>
        <v>5000</v>
      </c>
      <c r="P182" s="29">
        <f t="shared" si="100"/>
        <v>27500</v>
      </c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.75" customHeight="1">
      <c r="A183" s="19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6">
      <c r="A184" s="3" t="s">
        <v>193</v>
      </c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2"/>
      <c r="B185" s="5" t="s">
        <v>2</v>
      </c>
      <c r="C185" s="6" t="s">
        <v>3</v>
      </c>
      <c r="D185" s="6" t="s">
        <v>4</v>
      </c>
      <c r="E185" s="5" t="s">
        <v>5</v>
      </c>
      <c r="F185" s="6" t="s">
        <v>6</v>
      </c>
      <c r="G185" s="6" t="s">
        <v>7</v>
      </c>
      <c r="H185" s="5" t="s">
        <v>8</v>
      </c>
      <c r="I185" s="6" t="s">
        <v>9</v>
      </c>
      <c r="J185" s="6" t="s">
        <v>10</v>
      </c>
      <c r="K185" s="5" t="s">
        <v>11</v>
      </c>
      <c r="L185" s="6" t="s">
        <v>12</v>
      </c>
      <c r="M185" s="6" t="s">
        <v>13</v>
      </c>
      <c r="N185" s="7" t="s">
        <v>14</v>
      </c>
      <c r="O185" s="7" t="s">
        <v>15</v>
      </c>
      <c r="P185" s="7" t="s">
        <v>16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4" t="s">
        <v>194</v>
      </c>
      <c r="B186" s="29">
        <v>0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>
        <f>SUM(B186:M186)</f>
        <v>0</v>
      </c>
      <c r="O186" s="29">
        <v>0</v>
      </c>
      <c r="P186" s="29">
        <v>0</v>
      </c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.75" customHeight="1">
      <c r="A187" s="19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6">
      <c r="A188" s="3" t="s">
        <v>195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2"/>
      <c r="B189" s="5" t="s">
        <v>2</v>
      </c>
      <c r="C189" s="6" t="s">
        <v>3</v>
      </c>
      <c r="D189" s="6" t="s">
        <v>4</v>
      </c>
      <c r="E189" s="5" t="s">
        <v>5</v>
      </c>
      <c r="F189" s="6" t="s">
        <v>6</v>
      </c>
      <c r="G189" s="6" t="s">
        <v>7</v>
      </c>
      <c r="H189" s="5" t="s">
        <v>8</v>
      </c>
      <c r="I189" s="6" t="s">
        <v>9</v>
      </c>
      <c r="J189" s="6" t="s">
        <v>10</v>
      </c>
      <c r="K189" s="5" t="s">
        <v>11</v>
      </c>
      <c r="L189" s="6" t="s">
        <v>12</v>
      </c>
      <c r="M189" s="6" t="s">
        <v>13</v>
      </c>
      <c r="N189" s="7" t="s">
        <v>14</v>
      </c>
      <c r="O189" s="7" t="s">
        <v>15</v>
      </c>
      <c r="P189" s="7" t="s">
        <v>16</v>
      </c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4" t="s">
        <v>196</v>
      </c>
      <c r="B190" s="29">
        <f>B27</f>
        <v>20000</v>
      </c>
      <c r="C190" s="29">
        <f t="shared" ref="C190:P190" si="101">C$29</f>
        <v>22000</v>
      </c>
      <c r="D190" s="29">
        <f t="shared" si="101"/>
        <v>24000</v>
      </c>
      <c r="E190" s="29">
        <f t="shared" si="101"/>
        <v>18000</v>
      </c>
      <c r="F190" s="29">
        <f t="shared" si="101"/>
        <v>14000.000000000002</v>
      </c>
      <c r="G190" s="29">
        <f t="shared" si="101"/>
        <v>10000</v>
      </c>
      <c r="H190" s="29">
        <f t="shared" si="101"/>
        <v>8000</v>
      </c>
      <c r="I190" s="29">
        <f t="shared" si="101"/>
        <v>8000</v>
      </c>
      <c r="J190" s="29">
        <f t="shared" si="101"/>
        <v>10000</v>
      </c>
      <c r="K190" s="29">
        <f t="shared" si="101"/>
        <v>14000.000000000002</v>
      </c>
      <c r="L190" s="29">
        <f t="shared" si="101"/>
        <v>26000</v>
      </c>
      <c r="M190" s="29">
        <f t="shared" si="101"/>
        <v>26000</v>
      </c>
      <c r="N190" s="29">
        <f t="shared" si="101"/>
        <v>200000</v>
      </c>
      <c r="O190" s="29">
        <f t="shared" si="101"/>
        <v>300000</v>
      </c>
      <c r="P190" s="29">
        <f t="shared" si="101"/>
        <v>400000</v>
      </c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4" t="s">
        <v>108</v>
      </c>
      <c r="B191" s="29">
        <f t="shared" ref="B191:P191" si="102">B57</f>
        <v>3400</v>
      </c>
      <c r="C191" s="29">
        <f t="shared" si="102"/>
        <v>3344</v>
      </c>
      <c r="D191" s="29">
        <f t="shared" si="102"/>
        <v>3648</v>
      </c>
      <c r="E191" s="29">
        <f t="shared" si="102"/>
        <v>2736</v>
      </c>
      <c r="F191" s="29">
        <f t="shared" si="102"/>
        <v>2128.0000000000005</v>
      </c>
      <c r="G191" s="29">
        <f t="shared" si="102"/>
        <v>1520</v>
      </c>
      <c r="H191" s="29">
        <f t="shared" si="102"/>
        <v>1216</v>
      </c>
      <c r="I191" s="29">
        <f t="shared" si="102"/>
        <v>1216</v>
      </c>
      <c r="J191" s="29">
        <f t="shared" si="102"/>
        <v>1520</v>
      </c>
      <c r="K191" s="29">
        <f t="shared" si="102"/>
        <v>2128.0000000000005</v>
      </c>
      <c r="L191" s="29">
        <f t="shared" si="102"/>
        <v>3952</v>
      </c>
      <c r="M191" s="29">
        <f t="shared" si="102"/>
        <v>3952</v>
      </c>
      <c r="N191" s="29">
        <f t="shared" si="102"/>
        <v>30760</v>
      </c>
      <c r="O191" s="29">
        <f t="shared" si="102"/>
        <v>45600</v>
      </c>
      <c r="P191" s="29">
        <f t="shared" si="102"/>
        <v>60800</v>
      </c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61" t="s">
        <v>197</v>
      </c>
      <c r="B192" s="62">
        <f t="shared" ref="B192:P192" si="103">B190-B191</f>
        <v>16600</v>
      </c>
      <c r="C192" s="62">
        <f t="shared" si="103"/>
        <v>18656</v>
      </c>
      <c r="D192" s="62">
        <f t="shared" si="103"/>
        <v>20352</v>
      </c>
      <c r="E192" s="62">
        <f t="shared" si="103"/>
        <v>15264</v>
      </c>
      <c r="F192" s="62">
        <f t="shared" si="103"/>
        <v>11872.000000000002</v>
      </c>
      <c r="G192" s="62">
        <f t="shared" si="103"/>
        <v>8480</v>
      </c>
      <c r="H192" s="62">
        <f t="shared" si="103"/>
        <v>6784</v>
      </c>
      <c r="I192" s="62">
        <f t="shared" si="103"/>
        <v>6784</v>
      </c>
      <c r="J192" s="62">
        <f t="shared" si="103"/>
        <v>8480</v>
      </c>
      <c r="K192" s="62">
        <f t="shared" si="103"/>
        <v>11872.000000000002</v>
      </c>
      <c r="L192" s="62">
        <f t="shared" si="103"/>
        <v>22048</v>
      </c>
      <c r="M192" s="62">
        <f t="shared" si="103"/>
        <v>22048</v>
      </c>
      <c r="N192" s="62">
        <f t="shared" si="103"/>
        <v>169240</v>
      </c>
      <c r="O192" s="62">
        <f t="shared" si="103"/>
        <v>254400</v>
      </c>
      <c r="P192" s="62">
        <f t="shared" si="103"/>
        <v>339200</v>
      </c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4" t="s">
        <v>126</v>
      </c>
      <c r="B193" s="29">
        <f t="shared" ref="B193:P193" si="104">C92+C111+C130</f>
        <v>1520</v>
      </c>
      <c r="C193" s="29">
        <f t="shared" si="104"/>
        <v>1520</v>
      </c>
      <c r="D193" s="29">
        <f t="shared" si="104"/>
        <v>1520</v>
      </c>
      <c r="E193" s="29">
        <f t="shared" si="104"/>
        <v>1520</v>
      </c>
      <c r="F193" s="29">
        <f t="shared" si="104"/>
        <v>1520</v>
      </c>
      <c r="G193" s="29">
        <f t="shared" si="104"/>
        <v>1520</v>
      </c>
      <c r="H193" s="29">
        <f t="shared" si="104"/>
        <v>1830</v>
      </c>
      <c r="I193" s="29">
        <f t="shared" si="104"/>
        <v>1830</v>
      </c>
      <c r="J193" s="29">
        <f t="shared" si="104"/>
        <v>1830</v>
      </c>
      <c r="K193" s="29">
        <f t="shared" si="104"/>
        <v>1830</v>
      </c>
      <c r="L193" s="29">
        <f t="shared" si="104"/>
        <v>1830</v>
      </c>
      <c r="M193" s="29">
        <f t="shared" si="104"/>
        <v>1830</v>
      </c>
      <c r="N193" s="29">
        <f t="shared" si="104"/>
        <v>20100</v>
      </c>
      <c r="O193" s="29">
        <f t="shared" si="104"/>
        <v>24720</v>
      </c>
      <c r="P193" s="29">
        <f t="shared" si="104"/>
        <v>32640</v>
      </c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4" t="s">
        <v>198</v>
      </c>
      <c r="B194" s="29">
        <f t="shared" ref="B194:P194" si="105">B140</f>
        <v>2420</v>
      </c>
      <c r="C194" s="29">
        <f t="shared" si="105"/>
        <v>2420</v>
      </c>
      <c r="D194" s="29">
        <f t="shared" si="105"/>
        <v>2420</v>
      </c>
      <c r="E194" s="29">
        <f t="shared" si="105"/>
        <v>1420</v>
      </c>
      <c r="F194" s="29">
        <f t="shared" si="105"/>
        <v>1420</v>
      </c>
      <c r="G194" s="29">
        <f t="shared" si="105"/>
        <v>1420</v>
      </c>
      <c r="H194" s="29">
        <f t="shared" si="105"/>
        <v>1420</v>
      </c>
      <c r="I194" s="29">
        <f t="shared" si="105"/>
        <v>1420</v>
      </c>
      <c r="J194" s="29">
        <f t="shared" si="105"/>
        <v>1420</v>
      </c>
      <c r="K194" s="29">
        <f t="shared" si="105"/>
        <v>2420</v>
      </c>
      <c r="L194" s="29">
        <f t="shared" si="105"/>
        <v>2420</v>
      </c>
      <c r="M194" s="29">
        <f t="shared" si="105"/>
        <v>2420</v>
      </c>
      <c r="N194" s="29">
        <f t="shared" si="105"/>
        <v>23040</v>
      </c>
      <c r="O194" s="29">
        <f t="shared" si="105"/>
        <v>46800</v>
      </c>
      <c r="P194" s="29">
        <f t="shared" si="105"/>
        <v>54000</v>
      </c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4" t="s">
        <v>199</v>
      </c>
      <c r="B195" s="29">
        <f t="shared" ref="B195:P195" si="106">B153</f>
        <v>530</v>
      </c>
      <c r="C195" s="29">
        <f t="shared" si="106"/>
        <v>330</v>
      </c>
      <c r="D195" s="29">
        <f t="shared" si="106"/>
        <v>330</v>
      </c>
      <c r="E195" s="29">
        <f t="shared" si="106"/>
        <v>330</v>
      </c>
      <c r="F195" s="29">
        <f t="shared" si="106"/>
        <v>1330</v>
      </c>
      <c r="G195" s="29">
        <f t="shared" si="106"/>
        <v>330</v>
      </c>
      <c r="H195" s="29">
        <f t="shared" si="106"/>
        <v>330</v>
      </c>
      <c r="I195" s="29">
        <f t="shared" si="106"/>
        <v>330</v>
      </c>
      <c r="J195" s="29">
        <f t="shared" si="106"/>
        <v>530</v>
      </c>
      <c r="K195" s="29">
        <f t="shared" si="106"/>
        <v>330</v>
      </c>
      <c r="L195" s="29">
        <f t="shared" si="106"/>
        <v>330</v>
      </c>
      <c r="M195" s="29">
        <f t="shared" si="106"/>
        <v>530</v>
      </c>
      <c r="N195" s="29">
        <f t="shared" si="106"/>
        <v>5560</v>
      </c>
      <c r="O195" s="29">
        <f t="shared" si="106"/>
        <v>7784</v>
      </c>
      <c r="P195" s="29">
        <f t="shared" si="106"/>
        <v>10897.6</v>
      </c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4" t="s">
        <v>174</v>
      </c>
      <c r="B196" s="29">
        <f t="shared" ref="B196:P196" si="107">B164</f>
        <v>1330</v>
      </c>
      <c r="C196" s="29">
        <f t="shared" si="107"/>
        <v>630</v>
      </c>
      <c r="D196" s="29">
        <f t="shared" si="107"/>
        <v>630</v>
      </c>
      <c r="E196" s="29">
        <f t="shared" si="107"/>
        <v>630</v>
      </c>
      <c r="F196" s="29">
        <f t="shared" si="107"/>
        <v>630</v>
      </c>
      <c r="G196" s="29">
        <f t="shared" si="107"/>
        <v>630</v>
      </c>
      <c r="H196" s="29">
        <f t="shared" si="107"/>
        <v>670</v>
      </c>
      <c r="I196" s="29">
        <f t="shared" si="107"/>
        <v>670</v>
      </c>
      <c r="J196" s="29">
        <f t="shared" si="107"/>
        <v>670</v>
      </c>
      <c r="K196" s="29">
        <f t="shared" si="107"/>
        <v>670</v>
      </c>
      <c r="L196" s="29">
        <f t="shared" si="107"/>
        <v>670</v>
      </c>
      <c r="M196" s="29">
        <f t="shared" si="107"/>
        <v>1380</v>
      </c>
      <c r="N196" s="29">
        <f t="shared" si="107"/>
        <v>9210</v>
      </c>
      <c r="O196" s="29">
        <f t="shared" si="107"/>
        <v>10790</v>
      </c>
      <c r="P196" s="29">
        <f t="shared" si="107"/>
        <v>12182</v>
      </c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4" t="s">
        <v>183</v>
      </c>
      <c r="B197" s="29">
        <f t="shared" ref="B197:P197" si="108">B168</f>
        <v>50</v>
      </c>
      <c r="C197" s="29">
        <f t="shared" si="108"/>
        <v>50</v>
      </c>
      <c r="D197" s="29">
        <f t="shared" si="108"/>
        <v>50</v>
      </c>
      <c r="E197" s="29">
        <f t="shared" si="108"/>
        <v>150</v>
      </c>
      <c r="F197" s="29">
        <f t="shared" si="108"/>
        <v>50</v>
      </c>
      <c r="G197" s="29">
        <f t="shared" si="108"/>
        <v>500</v>
      </c>
      <c r="H197" s="29">
        <f t="shared" si="108"/>
        <v>500</v>
      </c>
      <c r="I197" s="29">
        <f t="shared" si="108"/>
        <v>500</v>
      </c>
      <c r="J197" s="29">
        <f t="shared" si="108"/>
        <v>500</v>
      </c>
      <c r="K197" s="29">
        <f t="shared" si="108"/>
        <v>150</v>
      </c>
      <c r="L197" s="29">
        <f t="shared" si="108"/>
        <v>50</v>
      </c>
      <c r="M197" s="29">
        <f t="shared" si="108"/>
        <v>50</v>
      </c>
      <c r="N197" s="29">
        <f t="shared" si="108"/>
        <v>2600</v>
      </c>
      <c r="O197" s="29">
        <f t="shared" si="108"/>
        <v>3639.9999999999995</v>
      </c>
      <c r="P197" s="29">
        <f t="shared" si="108"/>
        <v>5095.9999999999991</v>
      </c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8.5" customHeight="1">
      <c r="A198" s="61" t="s">
        <v>200</v>
      </c>
      <c r="B198" s="62">
        <f t="shared" ref="B198:P198" si="109">B190-B191-B193-B194-B195-B196-B197</f>
        <v>10750</v>
      </c>
      <c r="C198" s="62">
        <f t="shared" si="109"/>
        <v>13706</v>
      </c>
      <c r="D198" s="62">
        <f t="shared" si="109"/>
        <v>15402</v>
      </c>
      <c r="E198" s="62">
        <f t="shared" si="109"/>
        <v>11214</v>
      </c>
      <c r="F198" s="62">
        <f t="shared" si="109"/>
        <v>6922.0000000000018</v>
      </c>
      <c r="G198" s="62">
        <f t="shared" si="109"/>
        <v>4080</v>
      </c>
      <c r="H198" s="62">
        <f t="shared" si="109"/>
        <v>2034</v>
      </c>
      <c r="I198" s="62">
        <f t="shared" si="109"/>
        <v>2034</v>
      </c>
      <c r="J198" s="62">
        <f t="shared" si="109"/>
        <v>3530</v>
      </c>
      <c r="K198" s="62">
        <f t="shared" si="109"/>
        <v>6472.0000000000018</v>
      </c>
      <c r="L198" s="62">
        <f t="shared" si="109"/>
        <v>16748</v>
      </c>
      <c r="M198" s="62">
        <f t="shared" si="109"/>
        <v>15838</v>
      </c>
      <c r="N198" s="62">
        <f t="shared" si="109"/>
        <v>108730</v>
      </c>
      <c r="O198" s="62">
        <f t="shared" si="109"/>
        <v>160666</v>
      </c>
      <c r="P198" s="62">
        <f t="shared" si="109"/>
        <v>224384.4</v>
      </c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4" t="s">
        <v>114</v>
      </c>
      <c r="B199" s="29">
        <f t="shared" ref="B199:P199" si="110">B69</f>
        <v>0</v>
      </c>
      <c r="C199" s="29">
        <f t="shared" si="110"/>
        <v>0</v>
      </c>
      <c r="D199" s="29">
        <f t="shared" si="110"/>
        <v>0</v>
      </c>
      <c r="E199" s="29">
        <f t="shared" si="110"/>
        <v>0</v>
      </c>
      <c r="F199" s="29">
        <f t="shared" si="110"/>
        <v>0</v>
      </c>
      <c r="G199" s="29">
        <f t="shared" si="110"/>
        <v>0</v>
      </c>
      <c r="H199" s="29">
        <f t="shared" si="110"/>
        <v>0</v>
      </c>
      <c r="I199" s="29">
        <f t="shared" si="110"/>
        <v>0</v>
      </c>
      <c r="J199" s="29">
        <f t="shared" si="110"/>
        <v>0</v>
      </c>
      <c r="K199" s="29">
        <f t="shared" si="110"/>
        <v>0</v>
      </c>
      <c r="L199" s="29">
        <f t="shared" si="110"/>
        <v>0</v>
      </c>
      <c r="M199" s="29">
        <f t="shared" si="110"/>
        <v>16008.333333333334</v>
      </c>
      <c r="N199" s="29">
        <f t="shared" si="110"/>
        <v>16008.333333333334</v>
      </c>
      <c r="O199" s="29">
        <f t="shared" si="110"/>
        <v>25208.333333333336</v>
      </c>
      <c r="P199" s="29">
        <f t="shared" si="110"/>
        <v>49208.333333333336</v>
      </c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8.5" customHeight="1">
      <c r="A200" s="61" t="s">
        <v>201</v>
      </c>
      <c r="B200" s="62">
        <f t="shared" ref="B200:P200" si="111">B198-B199</f>
        <v>10750</v>
      </c>
      <c r="C200" s="62">
        <f t="shared" si="111"/>
        <v>13706</v>
      </c>
      <c r="D200" s="62">
        <f t="shared" si="111"/>
        <v>15402</v>
      </c>
      <c r="E200" s="62">
        <f t="shared" si="111"/>
        <v>11214</v>
      </c>
      <c r="F200" s="62">
        <f t="shared" si="111"/>
        <v>6922.0000000000018</v>
      </c>
      <c r="G200" s="62">
        <f t="shared" si="111"/>
        <v>4080</v>
      </c>
      <c r="H200" s="62">
        <f t="shared" si="111"/>
        <v>2034</v>
      </c>
      <c r="I200" s="62">
        <f t="shared" si="111"/>
        <v>2034</v>
      </c>
      <c r="J200" s="62">
        <f t="shared" si="111"/>
        <v>3530</v>
      </c>
      <c r="K200" s="62">
        <f t="shared" si="111"/>
        <v>6472.0000000000018</v>
      </c>
      <c r="L200" s="62">
        <f t="shared" si="111"/>
        <v>16748</v>
      </c>
      <c r="M200" s="62">
        <f t="shared" si="111"/>
        <v>-170.33333333333394</v>
      </c>
      <c r="N200" s="62">
        <f t="shared" si="111"/>
        <v>92721.666666666672</v>
      </c>
      <c r="O200" s="62">
        <f t="shared" si="111"/>
        <v>135457.66666666666</v>
      </c>
      <c r="P200" s="62">
        <f t="shared" si="111"/>
        <v>175176.06666666665</v>
      </c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4" t="s">
        <v>185</v>
      </c>
      <c r="B201" s="29">
        <f t="shared" ref="B201:P201" si="112">B174</f>
        <v>0</v>
      </c>
      <c r="C201" s="29">
        <f t="shared" si="112"/>
        <v>64.963333333333338</v>
      </c>
      <c r="D201" s="29">
        <f t="shared" si="112"/>
        <v>77.852469444444438</v>
      </c>
      <c r="E201" s="29">
        <f t="shared" si="112"/>
        <v>87.262346502314813</v>
      </c>
      <c r="F201" s="29">
        <f t="shared" si="112"/>
        <v>93.103398457733419</v>
      </c>
      <c r="G201" s="29">
        <f t="shared" si="112"/>
        <v>96.580984623114858</v>
      </c>
      <c r="H201" s="29">
        <f t="shared" si="112"/>
        <v>98.356468776967446</v>
      </c>
      <c r="I201" s="29">
        <f t="shared" si="112"/>
        <v>100.13343250094826</v>
      </c>
      <c r="J201" s="29">
        <f t="shared" si="112"/>
        <v>94.82521036136572</v>
      </c>
      <c r="K201" s="29">
        <f t="shared" si="112"/>
        <v>100.29756470333352</v>
      </c>
      <c r="L201" s="29">
        <f t="shared" si="112"/>
        <v>114.33781267391964</v>
      </c>
      <c r="M201" s="29">
        <f t="shared" si="112"/>
        <v>127.63142751781456</v>
      </c>
      <c r="N201" s="29">
        <f t="shared" si="112"/>
        <v>1055.34444889529</v>
      </c>
      <c r="O201" s="29">
        <f t="shared" si="112"/>
        <v>664.75672224447658</v>
      </c>
      <c r="P201" s="29">
        <f t="shared" si="112"/>
        <v>302.50250585569887</v>
      </c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85" t="s">
        <v>202</v>
      </c>
      <c r="B202" s="86">
        <f t="shared" ref="B202:P202" si="113">B182</f>
        <v>0</v>
      </c>
      <c r="C202" s="86">
        <f t="shared" si="113"/>
        <v>0</v>
      </c>
      <c r="D202" s="86">
        <f t="shared" si="113"/>
        <v>0</v>
      </c>
      <c r="E202" s="86">
        <f t="shared" si="113"/>
        <v>0</v>
      </c>
      <c r="F202" s="86">
        <f t="shared" si="113"/>
        <v>0</v>
      </c>
      <c r="G202" s="86">
        <f t="shared" si="113"/>
        <v>0</v>
      </c>
      <c r="H202" s="86">
        <f t="shared" si="113"/>
        <v>0</v>
      </c>
      <c r="I202" s="86">
        <f t="shared" si="113"/>
        <v>0</v>
      </c>
      <c r="J202" s="86">
        <f t="shared" si="113"/>
        <v>0</v>
      </c>
      <c r="K202" s="86">
        <f t="shared" si="113"/>
        <v>0</v>
      </c>
      <c r="L202" s="86">
        <f t="shared" si="113"/>
        <v>0</v>
      </c>
      <c r="M202" s="86">
        <f t="shared" si="113"/>
        <v>0</v>
      </c>
      <c r="N202" s="86">
        <f t="shared" si="113"/>
        <v>0</v>
      </c>
      <c r="O202" s="86">
        <f t="shared" si="113"/>
        <v>5000</v>
      </c>
      <c r="P202" s="86">
        <f t="shared" si="113"/>
        <v>27500</v>
      </c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8" customHeight="1">
      <c r="A203" s="87" t="s">
        <v>203</v>
      </c>
      <c r="B203" s="88">
        <f t="shared" ref="B203:P203" si="114">B200+B201-B202</f>
        <v>10750</v>
      </c>
      <c r="C203" s="88">
        <f t="shared" si="114"/>
        <v>13770.963333333333</v>
      </c>
      <c r="D203" s="88">
        <f t="shared" si="114"/>
        <v>15479.852469444444</v>
      </c>
      <c r="E203" s="88">
        <f t="shared" si="114"/>
        <v>11301.262346502315</v>
      </c>
      <c r="F203" s="88">
        <f t="shared" si="114"/>
        <v>7015.1033984577352</v>
      </c>
      <c r="G203" s="88">
        <f t="shared" si="114"/>
        <v>4176.580984623115</v>
      </c>
      <c r="H203" s="88">
        <f t="shared" si="114"/>
        <v>2132.3564687769676</v>
      </c>
      <c r="I203" s="88">
        <f t="shared" si="114"/>
        <v>2134.1334325009484</v>
      </c>
      <c r="J203" s="88">
        <f t="shared" si="114"/>
        <v>3624.8252103613659</v>
      </c>
      <c r="K203" s="88">
        <f t="shared" si="114"/>
        <v>6572.2975647033354</v>
      </c>
      <c r="L203" s="88">
        <f t="shared" si="114"/>
        <v>16862.337812673919</v>
      </c>
      <c r="M203" s="88">
        <f t="shared" si="114"/>
        <v>-42.701905815519382</v>
      </c>
      <c r="N203" s="88">
        <f t="shared" si="114"/>
        <v>93777.011115561967</v>
      </c>
      <c r="O203" s="88">
        <f t="shared" si="114"/>
        <v>131122.42338891112</v>
      </c>
      <c r="P203" s="88">
        <f t="shared" si="114"/>
        <v>147978.56917252234</v>
      </c>
      <c r="Q203" s="40">
        <f>IF(N203&lt;0,N203,0)</f>
        <v>0</v>
      </c>
      <c r="R203" s="40">
        <f>IF(O204&gt;0,0,O203+Q203)</f>
        <v>131122.42338891112</v>
      </c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89" t="s">
        <v>204</v>
      </c>
      <c r="B204" s="90">
        <v>0</v>
      </c>
      <c r="C204" s="90">
        <v>0</v>
      </c>
      <c r="D204" s="90">
        <v>0</v>
      </c>
      <c r="E204" s="90">
        <v>0</v>
      </c>
      <c r="F204" s="90">
        <v>0</v>
      </c>
      <c r="G204" s="90">
        <v>0</v>
      </c>
      <c r="H204" s="90">
        <v>0</v>
      </c>
      <c r="I204" s="90">
        <v>0</v>
      </c>
      <c r="J204" s="90">
        <v>0</v>
      </c>
      <c r="K204" s="90">
        <v>0</v>
      </c>
      <c r="L204" s="90">
        <v>0</v>
      </c>
      <c r="M204" s="90">
        <f>IF(N203&gt;0,N203*0.035*$B$5,0)</f>
        <v>0</v>
      </c>
      <c r="N204" s="90">
        <f t="shared" ref="N204:N205" si="115">M204</f>
        <v>0</v>
      </c>
      <c r="O204" s="90">
        <f t="shared" ref="O204:P204" si="116">IF((O203+Q203)&lt;0,0,(O203+Q203)*0.035*$B$5)</f>
        <v>0</v>
      </c>
      <c r="P204" s="90">
        <f t="shared" si="116"/>
        <v>0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4" t="s">
        <v>205</v>
      </c>
      <c r="B205" s="29">
        <v>0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29">
        <f>IF(N203&gt;0,N203*$B$4,0)</f>
        <v>0</v>
      </c>
      <c r="N205" s="29">
        <f t="shared" si="115"/>
        <v>0</v>
      </c>
      <c r="O205" s="29">
        <f t="shared" ref="O205:P205" si="117">IF((O203+Q203)&lt;0,0,(O203+Q203)*$B$4)</f>
        <v>0</v>
      </c>
      <c r="P205" s="29">
        <f t="shared" si="117"/>
        <v>0</v>
      </c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4" t="s">
        <v>206</v>
      </c>
      <c r="B206" s="29">
        <v>0</v>
      </c>
      <c r="C206" s="29">
        <v>0</v>
      </c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f t="shared" ref="M206:P206" si="118">M205*0.055</f>
        <v>0</v>
      </c>
      <c r="N206" s="29">
        <f t="shared" si="118"/>
        <v>0</v>
      </c>
      <c r="O206" s="29">
        <f t="shared" si="118"/>
        <v>0</v>
      </c>
      <c r="P206" s="29">
        <f t="shared" si="118"/>
        <v>0</v>
      </c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4" t="s">
        <v>207</v>
      </c>
      <c r="B207" s="29">
        <f t="shared" ref="B207:M207" si="119">SUM(B204:B206)</f>
        <v>0</v>
      </c>
      <c r="C207" s="29">
        <f t="shared" si="119"/>
        <v>0</v>
      </c>
      <c r="D207" s="29">
        <f t="shared" si="119"/>
        <v>0</v>
      </c>
      <c r="E207" s="29">
        <f t="shared" si="119"/>
        <v>0</v>
      </c>
      <c r="F207" s="29">
        <f t="shared" si="119"/>
        <v>0</v>
      </c>
      <c r="G207" s="29">
        <f t="shared" si="119"/>
        <v>0</v>
      </c>
      <c r="H207" s="29">
        <f t="shared" si="119"/>
        <v>0</v>
      </c>
      <c r="I207" s="29">
        <f t="shared" si="119"/>
        <v>0</v>
      </c>
      <c r="J207" s="29">
        <f t="shared" si="119"/>
        <v>0</v>
      </c>
      <c r="K207" s="29">
        <f t="shared" si="119"/>
        <v>0</v>
      </c>
      <c r="L207" s="29">
        <f t="shared" si="119"/>
        <v>0</v>
      </c>
      <c r="M207" s="29">
        <f t="shared" si="119"/>
        <v>0</v>
      </c>
      <c r="N207" s="29">
        <f>M207</f>
        <v>0</v>
      </c>
      <c r="O207" s="29">
        <f t="shared" ref="O207:P207" si="120">SUM(O204:O206)</f>
        <v>0</v>
      </c>
      <c r="P207" s="29">
        <f t="shared" si="120"/>
        <v>0</v>
      </c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61" t="s">
        <v>208</v>
      </c>
      <c r="B208" s="62">
        <f t="shared" ref="B208:P208" si="121">B203-B207</f>
        <v>10750</v>
      </c>
      <c r="C208" s="62">
        <f t="shared" si="121"/>
        <v>13770.963333333333</v>
      </c>
      <c r="D208" s="62">
        <f t="shared" si="121"/>
        <v>15479.852469444444</v>
      </c>
      <c r="E208" s="62">
        <f t="shared" si="121"/>
        <v>11301.262346502315</v>
      </c>
      <c r="F208" s="62">
        <f t="shared" si="121"/>
        <v>7015.1033984577352</v>
      </c>
      <c r="G208" s="62">
        <f t="shared" si="121"/>
        <v>4176.580984623115</v>
      </c>
      <c r="H208" s="62">
        <f t="shared" si="121"/>
        <v>2132.3564687769676</v>
      </c>
      <c r="I208" s="62">
        <f t="shared" si="121"/>
        <v>2134.1334325009484</v>
      </c>
      <c r="J208" s="62">
        <f t="shared" si="121"/>
        <v>3624.8252103613659</v>
      </c>
      <c r="K208" s="62">
        <f t="shared" si="121"/>
        <v>6572.2975647033354</v>
      </c>
      <c r="L208" s="62">
        <f t="shared" si="121"/>
        <v>16862.337812673919</v>
      </c>
      <c r="M208" s="62">
        <f t="shared" si="121"/>
        <v>-42.701905815519382</v>
      </c>
      <c r="N208" s="62">
        <f t="shared" si="121"/>
        <v>93777.011115561967</v>
      </c>
      <c r="O208" s="62">
        <f t="shared" si="121"/>
        <v>131122.42338891112</v>
      </c>
      <c r="P208" s="62">
        <f t="shared" si="121"/>
        <v>147978.56917252234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4" t="s">
        <v>194</v>
      </c>
      <c r="B209" s="29">
        <f t="shared" ref="B209:P209" si="122">B186</f>
        <v>0</v>
      </c>
      <c r="C209" s="29">
        <f t="shared" si="122"/>
        <v>0</v>
      </c>
      <c r="D209" s="29">
        <f t="shared" si="122"/>
        <v>0</v>
      </c>
      <c r="E209" s="29">
        <f t="shared" si="122"/>
        <v>0</v>
      </c>
      <c r="F209" s="29">
        <f t="shared" si="122"/>
        <v>0</v>
      </c>
      <c r="G209" s="29">
        <f t="shared" si="122"/>
        <v>0</v>
      </c>
      <c r="H209" s="29">
        <f t="shared" si="122"/>
        <v>0</v>
      </c>
      <c r="I209" s="29">
        <f t="shared" si="122"/>
        <v>0</v>
      </c>
      <c r="J209" s="29">
        <f t="shared" si="122"/>
        <v>0</v>
      </c>
      <c r="K209" s="29">
        <f t="shared" si="122"/>
        <v>0</v>
      </c>
      <c r="L209" s="29">
        <f t="shared" si="122"/>
        <v>0</v>
      </c>
      <c r="M209" s="29">
        <f t="shared" si="122"/>
        <v>0</v>
      </c>
      <c r="N209" s="29">
        <f t="shared" si="122"/>
        <v>0</v>
      </c>
      <c r="O209" s="29">
        <f t="shared" si="122"/>
        <v>0</v>
      </c>
      <c r="P209" s="29">
        <f t="shared" si="122"/>
        <v>0</v>
      </c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61" t="s">
        <v>209</v>
      </c>
      <c r="B210" s="62">
        <f t="shared" ref="B210:P210" si="123">B208-B209</f>
        <v>10750</v>
      </c>
      <c r="C210" s="62">
        <f t="shared" si="123"/>
        <v>13770.963333333333</v>
      </c>
      <c r="D210" s="62">
        <f t="shared" si="123"/>
        <v>15479.852469444444</v>
      </c>
      <c r="E210" s="62">
        <f t="shared" si="123"/>
        <v>11301.262346502315</v>
      </c>
      <c r="F210" s="62">
        <f t="shared" si="123"/>
        <v>7015.1033984577352</v>
      </c>
      <c r="G210" s="62">
        <f t="shared" si="123"/>
        <v>4176.580984623115</v>
      </c>
      <c r="H210" s="62">
        <f t="shared" si="123"/>
        <v>2132.3564687769676</v>
      </c>
      <c r="I210" s="62">
        <f t="shared" si="123"/>
        <v>2134.1334325009484</v>
      </c>
      <c r="J210" s="62">
        <f t="shared" si="123"/>
        <v>3624.8252103613659</v>
      </c>
      <c r="K210" s="62">
        <f t="shared" si="123"/>
        <v>6572.2975647033354</v>
      </c>
      <c r="L210" s="62">
        <f t="shared" si="123"/>
        <v>16862.337812673919</v>
      </c>
      <c r="M210" s="62">
        <f t="shared" si="123"/>
        <v>-42.701905815519382</v>
      </c>
      <c r="N210" s="62">
        <f t="shared" si="123"/>
        <v>93777.011115561967</v>
      </c>
      <c r="O210" s="62">
        <f t="shared" si="123"/>
        <v>131122.42338891112</v>
      </c>
      <c r="P210" s="62">
        <f t="shared" si="123"/>
        <v>147978.56917252234</v>
      </c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.75" customHeight="1">
      <c r="A211" s="5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16"/>
      <c r="T211" s="16"/>
      <c r="U211" s="16"/>
      <c r="V211" s="16"/>
      <c r="W211" s="16"/>
      <c r="X211" s="16"/>
      <c r="Y211" s="16"/>
      <c r="Z211" s="16"/>
    </row>
    <row r="212" spans="1:26" ht="15.6">
      <c r="A212" s="3" t="s">
        <v>210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8.5" customHeight="1">
      <c r="A213" s="19"/>
      <c r="B213" s="32" t="s">
        <v>211</v>
      </c>
      <c r="C213" s="5" t="s">
        <v>2</v>
      </c>
      <c r="D213" s="6" t="s">
        <v>3</v>
      </c>
      <c r="E213" s="6" t="s">
        <v>4</v>
      </c>
      <c r="F213" s="5" t="s">
        <v>5</v>
      </c>
      <c r="G213" s="6" t="s">
        <v>6</v>
      </c>
      <c r="H213" s="6" t="s">
        <v>7</v>
      </c>
      <c r="I213" s="5" t="s">
        <v>8</v>
      </c>
      <c r="J213" s="6" t="s">
        <v>9</v>
      </c>
      <c r="K213" s="6" t="s">
        <v>10</v>
      </c>
      <c r="L213" s="5" t="s">
        <v>11</v>
      </c>
      <c r="M213" s="6" t="s">
        <v>12</v>
      </c>
      <c r="N213" s="6" t="s">
        <v>13</v>
      </c>
      <c r="O213" s="7" t="s">
        <v>15</v>
      </c>
      <c r="P213" s="7" t="s">
        <v>16</v>
      </c>
      <c r="Q213" s="91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4" t="s">
        <v>212</v>
      </c>
      <c r="B214" s="29">
        <f>$B$10+40000</f>
        <v>331500</v>
      </c>
      <c r="C214" s="29">
        <f t="shared" ref="C214:N214" si="124">B214+C63</f>
        <v>331500</v>
      </c>
      <c r="D214" s="29">
        <f t="shared" si="124"/>
        <v>331500</v>
      </c>
      <c r="E214" s="29">
        <f t="shared" si="124"/>
        <v>331500</v>
      </c>
      <c r="F214" s="29">
        <f t="shared" si="124"/>
        <v>331500</v>
      </c>
      <c r="G214" s="29">
        <f t="shared" si="124"/>
        <v>331500</v>
      </c>
      <c r="H214" s="29">
        <f t="shared" si="124"/>
        <v>331500</v>
      </c>
      <c r="I214" s="29">
        <f t="shared" si="124"/>
        <v>331500</v>
      </c>
      <c r="J214" s="29">
        <f t="shared" si="124"/>
        <v>331500</v>
      </c>
      <c r="K214" s="29">
        <f t="shared" si="124"/>
        <v>341500</v>
      </c>
      <c r="L214" s="29">
        <f t="shared" si="124"/>
        <v>341500</v>
      </c>
      <c r="M214" s="29">
        <f t="shared" si="124"/>
        <v>341500</v>
      </c>
      <c r="N214" s="29">
        <f t="shared" si="124"/>
        <v>341500</v>
      </c>
      <c r="O214" s="29">
        <f t="shared" ref="O214:P214" si="125">N214+P63</f>
        <v>617500</v>
      </c>
      <c r="P214" s="29">
        <f t="shared" si="125"/>
        <v>1337500</v>
      </c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4" t="s">
        <v>213</v>
      </c>
      <c r="B215" s="29">
        <v>0</v>
      </c>
      <c r="C215" s="29">
        <f t="shared" ref="C215:P215" si="126">B215</f>
        <v>0</v>
      </c>
      <c r="D215" s="29">
        <f t="shared" si="126"/>
        <v>0</v>
      </c>
      <c r="E215" s="29">
        <f t="shared" si="126"/>
        <v>0</v>
      </c>
      <c r="F215" s="29">
        <f t="shared" si="126"/>
        <v>0</v>
      </c>
      <c r="G215" s="29">
        <f t="shared" si="126"/>
        <v>0</v>
      </c>
      <c r="H215" s="29">
        <f t="shared" si="126"/>
        <v>0</v>
      </c>
      <c r="I215" s="29">
        <f t="shared" si="126"/>
        <v>0</v>
      </c>
      <c r="J215" s="29">
        <f t="shared" si="126"/>
        <v>0</v>
      </c>
      <c r="K215" s="29">
        <f t="shared" si="126"/>
        <v>0</v>
      </c>
      <c r="L215" s="29">
        <f t="shared" si="126"/>
        <v>0</v>
      </c>
      <c r="M215" s="29">
        <f t="shared" si="126"/>
        <v>0</v>
      </c>
      <c r="N215" s="29">
        <f t="shared" si="126"/>
        <v>0</v>
      </c>
      <c r="O215" s="29">
        <f t="shared" si="126"/>
        <v>0</v>
      </c>
      <c r="P215" s="29">
        <f t="shared" si="126"/>
        <v>0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4" t="s">
        <v>214</v>
      </c>
      <c r="B216" s="29">
        <v>0</v>
      </c>
      <c r="C216" s="29">
        <f>B69</f>
        <v>0</v>
      </c>
      <c r="D216" s="29">
        <f t="shared" ref="D216:N216" si="127">C216+C69</f>
        <v>0</v>
      </c>
      <c r="E216" s="29">
        <f t="shared" si="127"/>
        <v>0</v>
      </c>
      <c r="F216" s="29">
        <f t="shared" si="127"/>
        <v>0</v>
      </c>
      <c r="G216" s="29">
        <f t="shared" si="127"/>
        <v>0</v>
      </c>
      <c r="H216" s="29">
        <f t="shared" si="127"/>
        <v>0</v>
      </c>
      <c r="I216" s="29">
        <f t="shared" si="127"/>
        <v>0</v>
      </c>
      <c r="J216" s="29">
        <f t="shared" si="127"/>
        <v>0</v>
      </c>
      <c r="K216" s="29">
        <f t="shared" si="127"/>
        <v>0</v>
      </c>
      <c r="L216" s="29">
        <f t="shared" si="127"/>
        <v>0</v>
      </c>
      <c r="M216" s="29">
        <f t="shared" si="127"/>
        <v>0</v>
      </c>
      <c r="N216" s="29">
        <f t="shared" si="127"/>
        <v>16008.333333333334</v>
      </c>
      <c r="O216" s="29">
        <f t="shared" ref="O216:P216" si="128">N216+O69</f>
        <v>41216.666666666672</v>
      </c>
      <c r="P216" s="29">
        <f t="shared" si="128"/>
        <v>90425</v>
      </c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hidden="1" customHeight="1">
      <c r="A217" s="32" t="s">
        <v>215</v>
      </c>
      <c r="B217" s="29">
        <f>B13</f>
        <v>0</v>
      </c>
      <c r="C217" s="29">
        <f t="shared" ref="C217:P217" si="129">B217</f>
        <v>0</v>
      </c>
      <c r="D217" s="29">
        <f t="shared" si="129"/>
        <v>0</v>
      </c>
      <c r="E217" s="29">
        <f t="shared" si="129"/>
        <v>0</v>
      </c>
      <c r="F217" s="29">
        <f t="shared" si="129"/>
        <v>0</v>
      </c>
      <c r="G217" s="29">
        <f t="shared" si="129"/>
        <v>0</v>
      </c>
      <c r="H217" s="29">
        <f t="shared" si="129"/>
        <v>0</v>
      </c>
      <c r="I217" s="29">
        <f t="shared" si="129"/>
        <v>0</v>
      </c>
      <c r="J217" s="29">
        <f t="shared" si="129"/>
        <v>0</v>
      </c>
      <c r="K217" s="29">
        <f t="shared" si="129"/>
        <v>0</v>
      </c>
      <c r="L217" s="29">
        <f t="shared" si="129"/>
        <v>0</v>
      </c>
      <c r="M217" s="29">
        <f t="shared" si="129"/>
        <v>0</v>
      </c>
      <c r="N217" s="29">
        <f t="shared" si="129"/>
        <v>0</v>
      </c>
      <c r="O217" s="29">
        <f t="shared" si="129"/>
        <v>0</v>
      </c>
      <c r="P217" s="29">
        <f t="shared" si="129"/>
        <v>0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4" t="s">
        <v>68</v>
      </c>
      <c r="B218" s="29">
        <f t="shared" ref="B218:P218" si="130">B214+B215-B216</f>
        <v>331500</v>
      </c>
      <c r="C218" s="29">
        <f t="shared" si="130"/>
        <v>331500</v>
      </c>
      <c r="D218" s="29">
        <f t="shared" si="130"/>
        <v>331500</v>
      </c>
      <c r="E218" s="29">
        <f t="shared" si="130"/>
        <v>331500</v>
      </c>
      <c r="F218" s="29">
        <f t="shared" si="130"/>
        <v>331500</v>
      </c>
      <c r="G218" s="29">
        <f t="shared" si="130"/>
        <v>331500</v>
      </c>
      <c r="H218" s="29">
        <f t="shared" si="130"/>
        <v>331500</v>
      </c>
      <c r="I218" s="29">
        <f t="shared" si="130"/>
        <v>331500</v>
      </c>
      <c r="J218" s="29">
        <f t="shared" si="130"/>
        <v>331500</v>
      </c>
      <c r="K218" s="29">
        <f t="shared" si="130"/>
        <v>341500</v>
      </c>
      <c r="L218" s="29">
        <f t="shared" si="130"/>
        <v>341500</v>
      </c>
      <c r="M218" s="29">
        <f t="shared" si="130"/>
        <v>341500</v>
      </c>
      <c r="N218" s="29">
        <f t="shared" si="130"/>
        <v>325491.66666666669</v>
      </c>
      <c r="O218" s="29">
        <f t="shared" si="130"/>
        <v>576283.33333333337</v>
      </c>
      <c r="P218" s="29">
        <f t="shared" si="130"/>
        <v>1247075</v>
      </c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4" t="s">
        <v>216</v>
      </c>
      <c r="B219" s="29">
        <v>0</v>
      </c>
      <c r="C219" s="29">
        <f>B73</f>
        <v>0</v>
      </c>
      <c r="D219" s="29">
        <f t="shared" ref="D219:M219" si="131">C219+C73</f>
        <v>0</v>
      </c>
      <c r="E219" s="29">
        <f t="shared" si="131"/>
        <v>0</v>
      </c>
      <c r="F219" s="29">
        <f t="shared" si="131"/>
        <v>0</v>
      </c>
      <c r="G219" s="29">
        <f t="shared" si="131"/>
        <v>0</v>
      </c>
      <c r="H219" s="29">
        <f t="shared" si="131"/>
        <v>0</v>
      </c>
      <c r="I219" s="29">
        <f t="shared" si="131"/>
        <v>0</v>
      </c>
      <c r="J219" s="29">
        <f t="shared" si="131"/>
        <v>0</v>
      </c>
      <c r="K219" s="29">
        <f t="shared" si="131"/>
        <v>0</v>
      </c>
      <c r="L219" s="29">
        <f t="shared" si="131"/>
        <v>0</v>
      </c>
      <c r="M219" s="29">
        <f t="shared" si="131"/>
        <v>0</v>
      </c>
      <c r="N219" s="29">
        <f>N73</f>
        <v>0</v>
      </c>
      <c r="O219" s="29">
        <f t="shared" ref="O219:P219" si="132">N219+O73</f>
        <v>0</v>
      </c>
      <c r="P219" s="29">
        <f t="shared" si="132"/>
        <v>0</v>
      </c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hidden="1" customHeight="1">
      <c r="A220" s="4" t="s">
        <v>217</v>
      </c>
      <c r="B220" s="29">
        <v>0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4" t="s">
        <v>218</v>
      </c>
      <c r="B221" s="29">
        <f>B14</f>
        <v>53500</v>
      </c>
      <c r="C221" s="29">
        <f t="shared" ref="C221:N221" si="133">IF(B254&gt;0,B254,0)</f>
        <v>64250</v>
      </c>
      <c r="D221" s="29">
        <f t="shared" si="133"/>
        <v>78020.963333333333</v>
      </c>
      <c r="E221" s="29">
        <f t="shared" si="133"/>
        <v>93500.815802777783</v>
      </c>
      <c r="F221" s="29">
        <f t="shared" si="133"/>
        <v>104802.0781492801</v>
      </c>
      <c r="G221" s="29">
        <f t="shared" si="133"/>
        <v>111817.18154773784</v>
      </c>
      <c r="H221" s="29">
        <f t="shared" si="133"/>
        <v>115993.76253236095</v>
      </c>
      <c r="I221" s="29">
        <f t="shared" si="133"/>
        <v>118126.11900113792</v>
      </c>
      <c r="J221" s="29">
        <f t="shared" si="133"/>
        <v>120260.25243363887</v>
      </c>
      <c r="K221" s="29">
        <f t="shared" si="133"/>
        <v>113885.07764400024</v>
      </c>
      <c r="L221" s="29">
        <f t="shared" si="133"/>
        <v>120457.37520870357</v>
      </c>
      <c r="M221" s="29">
        <f t="shared" si="133"/>
        <v>137319.71302137748</v>
      </c>
      <c r="N221" s="29">
        <f t="shared" si="133"/>
        <v>153285.34444889531</v>
      </c>
      <c r="O221" s="29">
        <f t="shared" ref="O221:P221" si="134">IF(O254&gt;0,O254,0)</f>
        <v>133616.10117113974</v>
      </c>
      <c r="P221" s="29">
        <f t="shared" si="134"/>
        <v>60803.003676995402</v>
      </c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4" t="s">
        <v>71</v>
      </c>
      <c r="B222" s="29">
        <f t="shared" ref="B222:P222" si="135">B221+B220+B219+B217</f>
        <v>53500</v>
      </c>
      <c r="C222" s="29">
        <f t="shared" si="135"/>
        <v>64250</v>
      </c>
      <c r="D222" s="29">
        <f t="shared" si="135"/>
        <v>78020.963333333333</v>
      </c>
      <c r="E222" s="29">
        <f t="shared" si="135"/>
        <v>93500.815802777783</v>
      </c>
      <c r="F222" s="29">
        <f t="shared" si="135"/>
        <v>104802.0781492801</v>
      </c>
      <c r="G222" s="29">
        <f t="shared" si="135"/>
        <v>111817.18154773784</v>
      </c>
      <c r="H222" s="29">
        <f t="shared" si="135"/>
        <v>115993.76253236095</v>
      </c>
      <c r="I222" s="29">
        <f t="shared" si="135"/>
        <v>118126.11900113792</v>
      </c>
      <c r="J222" s="29">
        <f t="shared" si="135"/>
        <v>120260.25243363887</v>
      </c>
      <c r="K222" s="29">
        <f t="shared" si="135"/>
        <v>113885.07764400024</v>
      </c>
      <c r="L222" s="29">
        <f t="shared" si="135"/>
        <v>120457.37520870357</v>
      </c>
      <c r="M222" s="29">
        <f t="shared" si="135"/>
        <v>137319.71302137748</v>
      </c>
      <c r="N222" s="29">
        <f t="shared" si="135"/>
        <v>153285.34444889531</v>
      </c>
      <c r="O222" s="29">
        <f t="shared" si="135"/>
        <v>133616.10117113974</v>
      </c>
      <c r="P222" s="29">
        <f t="shared" si="135"/>
        <v>60803.003676995402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42" t="s">
        <v>219</v>
      </c>
      <c r="B223" s="37">
        <f>B16</f>
        <v>385000</v>
      </c>
      <c r="C223" s="37">
        <f t="shared" ref="C223:P223" si="136">C218+C222</f>
        <v>395750</v>
      </c>
      <c r="D223" s="37">
        <f t="shared" si="136"/>
        <v>409520.96333333332</v>
      </c>
      <c r="E223" s="37">
        <f t="shared" si="136"/>
        <v>425000.81580277777</v>
      </c>
      <c r="F223" s="37">
        <f t="shared" si="136"/>
        <v>436302.0781492801</v>
      </c>
      <c r="G223" s="37">
        <f t="shared" si="136"/>
        <v>443317.18154773785</v>
      </c>
      <c r="H223" s="37">
        <f t="shared" si="136"/>
        <v>447493.76253236097</v>
      </c>
      <c r="I223" s="37">
        <f t="shared" si="136"/>
        <v>449626.11900113791</v>
      </c>
      <c r="J223" s="37">
        <f t="shared" si="136"/>
        <v>451760.2524336389</v>
      </c>
      <c r="K223" s="37">
        <f t="shared" si="136"/>
        <v>455385.07764400024</v>
      </c>
      <c r="L223" s="37">
        <f t="shared" si="136"/>
        <v>461957.37520870357</v>
      </c>
      <c r="M223" s="37">
        <f t="shared" si="136"/>
        <v>478819.71302137745</v>
      </c>
      <c r="N223" s="37">
        <f t="shared" si="136"/>
        <v>478777.011115562</v>
      </c>
      <c r="O223" s="37">
        <f t="shared" si="136"/>
        <v>709899.43450447312</v>
      </c>
      <c r="P223" s="37">
        <f t="shared" si="136"/>
        <v>1307878.0036769954</v>
      </c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4" t="s">
        <v>75</v>
      </c>
      <c r="B224" s="29">
        <f t="shared" ref="B224:P224" si="137">$B$17</f>
        <v>80000</v>
      </c>
      <c r="C224" s="29">
        <f t="shared" si="137"/>
        <v>80000</v>
      </c>
      <c r="D224" s="29">
        <f t="shared" si="137"/>
        <v>80000</v>
      </c>
      <c r="E224" s="29">
        <f t="shared" si="137"/>
        <v>80000</v>
      </c>
      <c r="F224" s="29">
        <f t="shared" si="137"/>
        <v>80000</v>
      </c>
      <c r="G224" s="29">
        <f t="shared" si="137"/>
        <v>80000</v>
      </c>
      <c r="H224" s="29">
        <f t="shared" si="137"/>
        <v>80000</v>
      </c>
      <c r="I224" s="29">
        <f t="shared" si="137"/>
        <v>80000</v>
      </c>
      <c r="J224" s="29">
        <f t="shared" si="137"/>
        <v>80000</v>
      </c>
      <c r="K224" s="29">
        <f t="shared" si="137"/>
        <v>80000</v>
      </c>
      <c r="L224" s="29">
        <f t="shared" si="137"/>
        <v>80000</v>
      </c>
      <c r="M224" s="29">
        <f t="shared" si="137"/>
        <v>80000</v>
      </c>
      <c r="N224" s="29">
        <f t="shared" si="137"/>
        <v>80000</v>
      </c>
      <c r="O224" s="29">
        <f t="shared" si="137"/>
        <v>80000</v>
      </c>
      <c r="P224" s="29">
        <f t="shared" si="137"/>
        <v>80000</v>
      </c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4" t="s">
        <v>220</v>
      </c>
      <c r="B225" s="29">
        <v>0</v>
      </c>
      <c r="C225" s="29">
        <v>0</v>
      </c>
      <c r="D225" s="29">
        <f>B210</f>
        <v>10750</v>
      </c>
      <c r="E225" s="29">
        <f t="shared" ref="E225:O225" si="138">D225+C210</f>
        <v>24520.963333333333</v>
      </c>
      <c r="F225" s="29">
        <f t="shared" si="138"/>
        <v>40000.815802777775</v>
      </c>
      <c r="G225" s="29">
        <f t="shared" si="138"/>
        <v>51302.078149280089</v>
      </c>
      <c r="H225" s="29">
        <f t="shared" si="138"/>
        <v>58317.181547737826</v>
      </c>
      <c r="I225" s="29">
        <f t="shared" si="138"/>
        <v>62493.762532360939</v>
      </c>
      <c r="J225" s="29">
        <f t="shared" si="138"/>
        <v>64626.119001137908</v>
      </c>
      <c r="K225" s="29">
        <f t="shared" si="138"/>
        <v>66760.25243363886</v>
      </c>
      <c r="L225" s="29">
        <f t="shared" si="138"/>
        <v>70385.077644000223</v>
      </c>
      <c r="M225" s="29">
        <f t="shared" si="138"/>
        <v>76957.375208703554</v>
      </c>
      <c r="N225" s="29">
        <f t="shared" si="138"/>
        <v>93819.71302137748</v>
      </c>
      <c r="O225" s="29">
        <f t="shared" si="138"/>
        <v>93777.011115561967</v>
      </c>
      <c r="P225" s="29">
        <f>O225+O210</f>
        <v>224899.43450447309</v>
      </c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4" t="s">
        <v>221</v>
      </c>
      <c r="B226" s="29">
        <v>0</v>
      </c>
      <c r="C226" s="29">
        <f t="shared" ref="C226:N226" si="139">B210</f>
        <v>10750</v>
      </c>
      <c r="D226" s="29">
        <f t="shared" si="139"/>
        <v>13770.963333333333</v>
      </c>
      <c r="E226" s="29">
        <f t="shared" si="139"/>
        <v>15479.852469444444</v>
      </c>
      <c r="F226" s="29">
        <f t="shared" si="139"/>
        <v>11301.262346502315</v>
      </c>
      <c r="G226" s="29">
        <f t="shared" si="139"/>
        <v>7015.1033984577352</v>
      </c>
      <c r="H226" s="29">
        <f t="shared" si="139"/>
        <v>4176.580984623115</v>
      </c>
      <c r="I226" s="29">
        <f t="shared" si="139"/>
        <v>2132.3564687769676</v>
      </c>
      <c r="J226" s="29">
        <f t="shared" si="139"/>
        <v>2134.1334325009484</v>
      </c>
      <c r="K226" s="29">
        <f t="shared" si="139"/>
        <v>3624.8252103613659</v>
      </c>
      <c r="L226" s="29">
        <f t="shared" si="139"/>
        <v>6572.2975647033354</v>
      </c>
      <c r="M226" s="29">
        <f t="shared" si="139"/>
        <v>16862.337812673919</v>
      </c>
      <c r="N226" s="29">
        <f t="shared" si="139"/>
        <v>-42.701905815519382</v>
      </c>
      <c r="O226" s="29">
        <f t="shared" ref="O226:P226" si="140">O210</f>
        <v>131122.42338891112</v>
      </c>
      <c r="P226" s="29">
        <f t="shared" si="140"/>
        <v>147978.56917252234</v>
      </c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4" t="s">
        <v>79</v>
      </c>
      <c r="B227" s="29">
        <f>B20</f>
        <v>385000</v>
      </c>
      <c r="C227" s="29">
        <f t="shared" ref="C227:P227" si="141">B227+C226</f>
        <v>395750</v>
      </c>
      <c r="D227" s="29">
        <f t="shared" si="141"/>
        <v>409520.96333333332</v>
      </c>
      <c r="E227" s="29">
        <f t="shared" si="141"/>
        <v>425000.81580277777</v>
      </c>
      <c r="F227" s="29">
        <f t="shared" si="141"/>
        <v>436302.0781492801</v>
      </c>
      <c r="G227" s="29">
        <f t="shared" si="141"/>
        <v>443317.18154773785</v>
      </c>
      <c r="H227" s="29">
        <f t="shared" si="141"/>
        <v>447493.76253236097</v>
      </c>
      <c r="I227" s="29">
        <f t="shared" si="141"/>
        <v>449626.11900113791</v>
      </c>
      <c r="J227" s="29">
        <f t="shared" si="141"/>
        <v>451760.25243363885</v>
      </c>
      <c r="K227" s="29">
        <f t="shared" si="141"/>
        <v>455385.07764400024</v>
      </c>
      <c r="L227" s="29">
        <f t="shared" si="141"/>
        <v>461957.37520870357</v>
      </c>
      <c r="M227" s="29">
        <f t="shared" si="141"/>
        <v>478819.71302137751</v>
      </c>
      <c r="N227" s="29">
        <f t="shared" si="141"/>
        <v>478777.011115562</v>
      </c>
      <c r="O227" s="29">
        <f t="shared" si="141"/>
        <v>609899.43450447312</v>
      </c>
      <c r="P227" s="29">
        <f t="shared" si="141"/>
        <v>757878.0036769954</v>
      </c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4" t="s">
        <v>222</v>
      </c>
      <c r="B228" s="29">
        <v>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f t="shared" ref="N228:P228" si="142">N207</f>
        <v>0</v>
      </c>
      <c r="O228" s="29">
        <f t="shared" si="142"/>
        <v>0</v>
      </c>
      <c r="P228" s="29">
        <f t="shared" si="142"/>
        <v>0</v>
      </c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4" t="s">
        <v>223</v>
      </c>
      <c r="B229" s="29">
        <v>0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4" t="s">
        <v>81</v>
      </c>
      <c r="B230" s="29">
        <f>B21</f>
        <v>0</v>
      </c>
      <c r="C230" s="29">
        <f>B178+B180-B179-B181</f>
        <v>0</v>
      </c>
      <c r="D230" s="29">
        <f t="shared" ref="D230:N230" si="143">C230+C178+C180-C179-C181</f>
        <v>0</v>
      </c>
      <c r="E230" s="29">
        <f t="shared" si="143"/>
        <v>0</v>
      </c>
      <c r="F230" s="29">
        <f t="shared" si="143"/>
        <v>0</v>
      </c>
      <c r="G230" s="29">
        <f t="shared" si="143"/>
        <v>0</v>
      </c>
      <c r="H230" s="29">
        <f t="shared" si="143"/>
        <v>0</v>
      </c>
      <c r="I230" s="29">
        <f t="shared" si="143"/>
        <v>0</v>
      </c>
      <c r="J230" s="29">
        <f t="shared" si="143"/>
        <v>0</v>
      </c>
      <c r="K230" s="29">
        <f t="shared" si="143"/>
        <v>0</v>
      </c>
      <c r="L230" s="29">
        <f t="shared" si="143"/>
        <v>0</v>
      </c>
      <c r="M230" s="29">
        <f t="shared" si="143"/>
        <v>0</v>
      </c>
      <c r="N230" s="29">
        <f t="shared" si="143"/>
        <v>0</v>
      </c>
      <c r="O230" s="29">
        <f t="shared" ref="O230:P230" si="144">N230+O178+O180-O179-O181</f>
        <v>100000</v>
      </c>
      <c r="P230" s="29">
        <f t="shared" si="144"/>
        <v>550000</v>
      </c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4" t="s">
        <v>224</v>
      </c>
      <c r="B231" s="29">
        <f t="shared" ref="B231:P231" si="145">B228+B229+B230</f>
        <v>0</v>
      </c>
      <c r="C231" s="29">
        <f t="shared" si="145"/>
        <v>0</v>
      </c>
      <c r="D231" s="29">
        <f t="shared" si="145"/>
        <v>0</v>
      </c>
      <c r="E231" s="29">
        <f t="shared" si="145"/>
        <v>0</v>
      </c>
      <c r="F231" s="29">
        <f t="shared" si="145"/>
        <v>0</v>
      </c>
      <c r="G231" s="29">
        <f t="shared" si="145"/>
        <v>0</v>
      </c>
      <c r="H231" s="29">
        <f t="shared" si="145"/>
        <v>0</v>
      </c>
      <c r="I231" s="29">
        <f t="shared" si="145"/>
        <v>0</v>
      </c>
      <c r="J231" s="29">
        <f t="shared" si="145"/>
        <v>0</v>
      </c>
      <c r="K231" s="29">
        <f t="shared" si="145"/>
        <v>0</v>
      </c>
      <c r="L231" s="29">
        <f t="shared" si="145"/>
        <v>0</v>
      </c>
      <c r="M231" s="29">
        <f t="shared" si="145"/>
        <v>0</v>
      </c>
      <c r="N231" s="29">
        <f t="shared" si="145"/>
        <v>0</v>
      </c>
      <c r="O231" s="29">
        <f t="shared" si="145"/>
        <v>100000</v>
      </c>
      <c r="P231" s="29">
        <f t="shared" si="145"/>
        <v>550000</v>
      </c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4" t="s">
        <v>225</v>
      </c>
      <c r="B232" s="29">
        <v>0</v>
      </c>
      <c r="C232" s="29">
        <f t="shared" ref="C232:N232" si="146">IF(B254&lt;0,-B254,0)</f>
        <v>0</v>
      </c>
      <c r="D232" s="29">
        <f t="shared" si="146"/>
        <v>0</v>
      </c>
      <c r="E232" s="29">
        <f t="shared" si="146"/>
        <v>0</v>
      </c>
      <c r="F232" s="29">
        <f t="shared" si="146"/>
        <v>0</v>
      </c>
      <c r="G232" s="29">
        <f t="shared" si="146"/>
        <v>0</v>
      </c>
      <c r="H232" s="29">
        <f t="shared" si="146"/>
        <v>0</v>
      </c>
      <c r="I232" s="29">
        <f t="shared" si="146"/>
        <v>0</v>
      </c>
      <c r="J232" s="29">
        <f t="shared" si="146"/>
        <v>0</v>
      </c>
      <c r="K232" s="29">
        <f t="shared" si="146"/>
        <v>0</v>
      </c>
      <c r="L232" s="29">
        <f t="shared" si="146"/>
        <v>0</v>
      </c>
      <c r="M232" s="29">
        <f t="shared" si="146"/>
        <v>0</v>
      </c>
      <c r="N232" s="29">
        <f t="shared" si="146"/>
        <v>0</v>
      </c>
      <c r="O232" s="29">
        <f t="shared" ref="O232:P232" si="147">IF(O254&lt;0,-O254,0)</f>
        <v>0</v>
      </c>
      <c r="P232" s="29">
        <f t="shared" si="147"/>
        <v>0</v>
      </c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4" t="s">
        <v>226</v>
      </c>
      <c r="B233" s="29">
        <f t="shared" ref="B233:P233" si="148">B220</f>
        <v>0</v>
      </c>
      <c r="C233" s="29">
        <f t="shared" si="148"/>
        <v>0</v>
      </c>
      <c r="D233" s="29">
        <f t="shared" si="148"/>
        <v>0</v>
      </c>
      <c r="E233" s="29">
        <f t="shared" si="148"/>
        <v>0</v>
      </c>
      <c r="F233" s="29">
        <f t="shared" si="148"/>
        <v>0</v>
      </c>
      <c r="G233" s="29">
        <f t="shared" si="148"/>
        <v>0</v>
      </c>
      <c r="H233" s="29">
        <f t="shared" si="148"/>
        <v>0</v>
      </c>
      <c r="I233" s="29">
        <f t="shared" si="148"/>
        <v>0</v>
      </c>
      <c r="J233" s="29">
        <f t="shared" si="148"/>
        <v>0</v>
      </c>
      <c r="K233" s="29">
        <f t="shared" si="148"/>
        <v>0</v>
      </c>
      <c r="L233" s="29">
        <f t="shared" si="148"/>
        <v>0</v>
      </c>
      <c r="M233" s="29">
        <f t="shared" si="148"/>
        <v>0</v>
      </c>
      <c r="N233" s="29">
        <f t="shared" si="148"/>
        <v>0</v>
      </c>
      <c r="O233" s="29">
        <f t="shared" si="148"/>
        <v>0</v>
      </c>
      <c r="P233" s="29">
        <f t="shared" si="148"/>
        <v>0</v>
      </c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4" t="s">
        <v>228</v>
      </c>
      <c r="B234" s="29">
        <f t="shared" ref="B234:P234" si="149">B232+B233</f>
        <v>0</v>
      </c>
      <c r="C234" s="29">
        <f t="shared" si="149"/>
        <v>0</v>
      </c>
      <c r="D234" s="29">
        <f t="shared" si="149"/>
        <v>0</v>
      </c>
      <c r="E234" s="29">
        <f t="shared" si="149"/>
        <v>0</v>
      </c>
      <c r="F234" s="29">
        <f t="shared" si="149"/>
        <v>0</v>
      </c>
      <c r="G234" s="29">
        <f t="shared" si="149"/>
        <v>0</v>
      </c>
      <c r="H234" s="29">
        <f t="shared" si="149"/>
        <v>0</v>
      </c>
      <c r="I234" s="29">
        <f t="shared" si="149"/>
        <v>0</v>
      </c>
      <c r="J234" s="29">
        <f t="shared" si="149"/>
        <v>0</v>
      </c>
      <c r="K234" s="29">
        <f t="shared" si="149"/>
        <v>0</v>
      </c>
      <c r="L234" s="29">
        <f t="shared" si="149"/>
        <v>0</v>
      </c>
      <c r="M234" s="29">
        <f t="shared" si="149"/>
        <v>0</v>
      </c>
      <c r="N234" s="29">
        <f t="shared" si="149"/>
        <v>0</v>
      </c>
      <c r="O234" s="29">
        <f t="shared" si="149"/>
        <v>0</v>
      </c>
      <c r="P234" s="29">
        <f t="shared" si="149"/>
        <v>0</v>
      </c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42" t="s">
        <v>82</v>
      </c>
      <c r="B235" s="37">
        <f>B22</f>
        <v>385000</v>
      </c>
      <c r="C235" s="37">
        <f t="shared" ref="C235:P235" si="150">C227+C231+C234</f>
        <v>395750</v>
      </c>
      <c r="D235" s="37">
        <f t="shared" si="150"/>
        <v>409520.96333333332</v>
      </c>
      <c r="E235" s="37">
        <f t="shared" si="150"/>
        <v>425000.81580277777</v>
      </c>
      <c r="F235" s="37">
        <f t="shared" si="150"/>
        <v>436302.0781492801</v>
      </c>
      <c r="G235" s="37">
        <f t="shared" si="150"/>
        <v>443317.18154773785</v>
      </c>
      <c r="H235" s="37">
        <f t="shared" si="150"/>
        <v>447493.76253236097</v>
      </c>
      <c r="I235" s="37">
        <f t="shared" si="150"/>
        <v>449626.11900113791</v>
      </c>
      <c r="J235" s="37">
        <f t="shared" si="150"/>
        <v>451760.25243363885</v>
      </c>
      <c r="K235" s="37">
        <f t="shared" si="150"/>
        <v>455385.07764400024</v>
      </c>
      <c r="L235" s="37">
        <f t="shared" si="150"/>
        <v>461957.37520870357</v>
      </c>
      <c r="M235" s="37">
        <f t="shared" si="150"/>
        <v>478819.71302137751</v>
      </c>
      <c r="N235" s="37">
        <f t="shared" si="150"/>
        <v>478777.011115562</v>
      </c>
      <c r="O235" s="37">
        <f t="shared" si="150"/>
        <v>709899.43450447312</v>
      </c>
      <c r="P235" s="37">
        <f t="shared" si="150"/>
        <v>1307878.0036769954</v>
      </c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.75" customHeight="1">
      <c r="A236" s="92"/>
      <c r="B236" s="40">
        <f t="shared" ref="B236:P236" si="151">B235-B223</f>
        <v>0</v>
      </c>
      <c r="C236" s="40">
        <f t="shared" si="151"/>
        <v>0</v>
      </c>
      <c r="D236" s="40">
        <f t="shared" si="151"/>
        <v>0</v>
      </c>
      <c r="E236" s="40">
        <f t="shared" si="151"/>
        <v>0</v>
      </c>
      <c r="F236" s="40">
        <f t="shared" si="151"/>
        <v>0</v>
      </c>
      <c r="G236" s="40">
        <f t="shared" si="151"/>
        <v>0</v>
      </c>
      <c r="H236" s="40">
        <f t="shared" si="151"/>
        <v>0</v>
      </c>
      <c r="I236" s="40">
        <f t="shared" si="151"/>
        <v>0</v>
      </c>
      <c r="J236" s="40">
        <f t="shared" si="151"/>
        <v>0</v>
      </c>
      <c r="K236" s="40">
        <f t="shared" si="151"/>
        <v>0</v>
      </c>
      <c r="L236" s="40">
        <f t="shared" si="151"/>
        <v>0</v>
      </c>
      <c r="M236" s="40">
        <f t="shared" si="151"/>
        <v>0</v>
      </c>
      <c r="N236" s="40">
        <f t="shared" si="151"/>
        <v>0</v>
      </c>
      <c r="O236" s="40">
        <f t="shared" si="151"/>
        <v>0</v>
      </c>
      <c r="P236" s="40">
        <f t="shared" si="151"/>
        <v>0</v>
      </c>
      <c r="Q236" s="2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6">
      <c r="A237" s="24" t="s">
        <v>231</v>
      </c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4.25" customHeight="1">
      <c r="A238" s="19"/>
      <c r="B238" s="5" t="s">
        <v>2</v>
      </c>
      <c r="C238" s="6" t="s">
        <v>3</v>
      </c>
      <c r="D238" s="6" t="s">
        <v>4</v>
      </c>
      <c r="E238" s="5" t="s">
        <v>5</v>
      </c>
      <c r="F238" s="6" t="s">
        <v>6</v>
      </c>
      <c r="G238" s="6" t="s">
        <v>7</v>
      </c>
      <c r="H238" s="5" t="s">
        <v>8</v>
      </c>
      <c r="I238" s="6" t="s">
        <v>9</v>
      </c>
      <c r="J238" s="6" t="s">
        <v>10</v>
      </c>
      <c r="K238" s="5" t="s">
        <v>11</v>
      </c>
      <c r="L238" s="6" t="s">
        <v>12</v>
      </c>
      <c r="M238" s="6" t="s">
        <v>13</v>
      </c>
      <c r="N238" s="7" t="s">
        <v>14</v>
      </c>
      <c r="O238" s="7" t="s">
        <v>15</v>
      </c>
      <c r="P238" s="7" t="s">
        <v>16</v>
      </c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4.25" customHeight="1">
      <c r="A239" s="4" t="s">
        <v>232</v>
      </c>
      <c r="B239" s="29">
        <f>B14</f>
        <v>53500</v>
      </c>
      <c r="C239" s="29">
        <f t="shared" ref="C239:M239" si="152">B254</f>
        <v>64250</v>
      </c>
      <c r="D239" s="29">
        <f t="shared" si="152"/>
        <v>78020.963333333333</v>
      </c>
      <c r="E239" s="29">
        <f t="shared" si="152"/>
        <v>93500.815802777783</v>
      </c>
      <c r="F239" s="29">
        <f t="shared" si="152"/>
        <v>104802.0781492801</v>
      </c>
      <c r="G239" s="29">
        <f t="shared" si="152"/>
        <v>111817.18154773784</v>
      </c>
      <c r="H239" s="29">
        <f t="shared" si="152"/>
        <v>115993.76253236095</v>
      </c>
      <c r="I239" s="29">
        <f t="shared" si="152"/>
        <v>118126.11900113792</v>
      </c>
      <c r="J239" s="29">
        <f t="shared" si="152"/>
        <v>120260.25243363887</v>
      </c>
      <c r="K239" s="29">
        <f t="shared" si="152"/>
        <v>113885.07764400024</v>
      </c>
      <c r="L239" s="29">
        <f t="shared" si="152"/>
        <v>120457.37520870357</v>
      </c>
      <c r="M239" s="29">
        <f t="shared" si="152"/>
        <v>137319.71302137748</v>
      </c>
      <c r="N239" s="29">
        <f>B239</f>
        <v>53500</v>
      </c>
      <c r="O239" s="29">
        <f t="shared" ref="O239:P239" si="153">N254</f>
        <v>153285.34444889528</v>
      </c>
      <c r="P239" s="29">
        <f t="shared" si="153"/>
        <v>133616.10117113974</v>
      </c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4.25" customHeight="1">
      <c r="A240" s="4" t="s">
        <v>234</v>
      </c>
      <c r="B240" s="29">
        <f t="shared" ref="B240:P240" si="154">B$29</f>
        <v>20000</v>
      </c>
      <c r="C240" s="29">
        <f t="shared" si="154"/>
        <v>22000</v>
      </c>
      <c r="D240" s="29">
        <f t="shared" si="154"/>
        <v>24000</v>
      </c>
      <c r="E240" s="29">
        <f t="shared" si="154"/>
        <v>18000</v>
      </c>
      <c r="F240" s="29">
        <f t="shared" si="154"/>
        <v>14000.000000000002</v>
      </c>
      <c r="G240" s="29">
        <f t="shared" si="154"/>
        <v>10000</v>
      </c>
      <c r="H240" s="29">
        <f t="shared" si="154"/>
        <v>8000</v>
      </c>
      <c r="I240" s="29">
        <f t="shared" si="154"/>
        <v>8000</v>
      </c>
      <c r="J240" s="29">
        <f t="shared" si="154"/>
        <v>10000</v>
      </c>
      <c r="K240" s="29">
        <f t="shared" si="154"/>
        <v>14000.000000000002</v>
      </c>
      <c r="L240" s="29">
        <f t="shared" si="154"/>
        <v>26000</v>
      </c>
      <c r="M240" s="29">
        <f t="shared" si="154"/>
        <v>26000</v>
      </c>
      <c r="N240" s="29">
        <f t="shared" si="154"/>
        <v>200000</v>
      </c>
      <c r="O240" s="29">
        <f t="shared" si="154"/>
        <v>300000</v>
      </c>
      <c r="P240" s="29">
        <f t="shared" si="154"/>
        <v>400000</v>
      </c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4.25" customHeight="1">
      <c r="A241" s="4" t="s">
        <v>235</v>
      </c>
      <c r="B241" s="29">
        <v>0</v>
      </c>
      <c r="C241" s="29">
        <f t="shared" ref="C241:M241" si="155">C178+C180</f>
        <v>0</v>
      </c>
      <c r="D241" s="29">
        <f t="shared" si="155"/>
        <v>0</v>
      </c>
      <c r="E241" s="29">
        <f t="shared" si="155"/>
        <v>0</v>
      </c>
      <c r="F241" s="29">
        <f t="shared" si="155"/>
        <v>0</v>
      </c>
      <c r="G241" s="29">
        <f t="shared" si="155"/>
        <v>0</v>
      </c>
      <c r="H241" s="29">
        <f t="shared" si="155"/>
        <v>0</v>
      </c>
      <c r="I241" s="29">
        <f t="shared" si="155"/>
        <v>0</v>
      </c>
      <c r="J241" s="29">
        <f t="shared" si="155"/>
        <v>0</v>
      </c>
      <c r="K241" s="29">
        <f t="shared" si="155"/>
        <v>0</v>
      </c>
      <c r="L241" s="29">
        <f t="shared" si="155"/>
        <v>0</v>
      </c>
      <c r="M241" s="29">
        <f t="shared" si="155"/>
        <v>0</v>
      </c>
      <c r="N241" s="29">
        <v>0</v>
      </c>
      <c r="O241" s="29">
        <f t="shared" ref="O241:P241" si="156">O178+O180</f>
        <v>100000</v>
      </c>
      <c r="P241" s="29">
        <f t="shared" si="156"/>
        <v>450000</v>
      </c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4.25" customHeight="1">
      <c r="A242" s="4" t="s">
        <v>237</v>
      </c>
      <c r="B242" s="29">
        <f t="shared" ref="B242:P242" si="157">B174</f>
        <v>0</v>
      </c>
      <c r="C242" s="29">
        <f t="shared" si="157"/>
        <v>64.963333333333338</v>
      </c>
      <c r="D242" s="29">
        <f t="shared" si="157"/>
        <v>77.852469444444438</v>
      </c>
      <c r="E242" s="29">
        <f t="shared" si="157"/>
        <v>87.262346502314813</v>
      </c>
      <c r="F242" s="29">
        <f t="shared" si="157"/>
        <v>93.103398457733419</v>
      </c>
      <c r="G242" s="29">
        <f t="shared" si="157"/>
        <v>96.580984623114858</v>
      </c>
      <c r="H242" s="29">
        <f t="shared" si="157"/>
        <v>98.356468776967446</v>
      </c>
      <c r="I242" s="29">
        <f t="shared" si="157"/>
        <v>100.13343250094826</v>
      </c>
      <c r="J242" s="29">
        <f t="shared" si="157"/>
        <v>94.82521036136572</v>
      </c>
      <c r="K242" s="29">
        <f t="shared" si="157"/>
        <v>100.29756470333352</v>
      </c>
      <c r="L242" s="29">
        <f t="shared" si="157"/>
        <v>114.33781267391964</v>
      </c>
      <c r="M242" s="29">
        <f t="shared" si="157"/>
        <v>127.63142751781456</v>
      </c>
      <c r="N242" s="29">
        <f t="shared" si="157"/>
        <v>1055.34444889529</v>
      </c>
      <c r="O242" s="29">
        <f t="shared" si="157"/>
        <v>664.75672224447658</v>
      </c>
      <c r="P242" s="29">
        <f t="shared" si="157"/>
        <v>302.50250585569887</v>
      </c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8.5" hidden="1" customHeight="1">
      <c r="A243" s="32" t="s">
        <v>238</v>
      </c>
      <c r="B243" s="29">
        <v>0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4.25" customHeight="1">
      <c r="A244" s="4" t="s">
        <v>239</v>
      </c>
      <c r="B244" s="29">
        <f t="shared" ref="B244:P244" si="158">B240+B242+B241+B243</f>
        <v>20000</v>
      </c>
      <c r="C244" s="29">
        <f t="shared" si="158"/>
        <v>22064.963333333333</v>
      </c>
      <c r="D244" s="29">
        <f t="shared" si="158"/>
        <v>24077.852469444446</v>
      </c>
      <c r="E244" s="29">
        <f t="shared" si="158"/>
        <v>18087.262346502313</v>
      </c>
      <c r="F244" s="29">
        <f t="shared" si="158"/>
        <v>14093.103398457735</v>
      </c>
      <c r="G244" s="29">
        <f t="shared" si="158"/>
        <v>10096.580984623115</v>
      </c>
      <c r="H244" s="29">
        <f t="shared" si="158"/>
        <v>8098.3564687769676</v>
      </c>
      <c r="I244" s="29">
        <f t="shared" si="158"/>
        <v>8100.1334325009484</v>
      </c>
      <c r="J244" s="29">
        <f t="shared" si="158"/>
        <v>10094.825210361365</v>
      </c>
      <c r="K244" s="29">
        <f t="shared" si="158"/>
        <v>14100.297564703335</v>
      </c>
      <c r="L244" s="29">
        <f t="shared" si="158"/>
        <v>26114.337812673919</v>
      </c>
      <c r="M244" s="29">
        <f t="shared" si="158"/>
        <v>26127.631427517816</v>
      </c>
      <c r="N244" s="29">
        <f t="shared" si="158"/>
        <v>201055.34444889528</v>
      </c>
      <c r="O244" s="29">
        <f t="shared" si="158"/>
        <v>400664.75672224449</v>
      </c>
      <c r="P244" s="29">
        <f t="shared" si="158"/>
        <v>850302.50250585563</v>
      </c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4.25" customHeight="1">
      <c r="A245" s="4" t="s">
        <v>241</v>
      </c>
      <c r="B245" s="29">
        <f t="shared" ref="B245:P245" si="159">B57+B140+B153+B164+B168</f>
        <v>7730</v>
      </c>
      <c r="C245" s="29">
        <f t="shared" si="159"/>
        <v>6774</v>
      </c>
      <c r="D245" s="29">
        <f t="shared" si="159"/>
        <v>7078</v>
      </c>
      <c r="E245" s="29">
        <f t="shared" si="159"/>
        <v>5266</v>
      </c>
      <c r="F245" s="29">
        <f t="shared" si="159"/>
        <v>5558</v>
      </c>
      <c r="G245" s="29">
        <f t="shared" si="159"/>
        <v>4400</v>
      </c>
      <c r="H245" s="29">
        <f t="shared" si="159"/>
        <v>4136</v>
      </c>
      <c r="I245" s="29">
        <f t="shared" si="159"/>
        <v>4136</v>
      </c>
      <c r="J245" s="29">
        <f t="shared" si="159"/>
        <v>4640</v>
      </c>
      <c r="K245" s="29">
        <f t="shared" si="159"/>
        <v>5698</v>
      </c>
      <c r="L245" s="29">
        <f t="shared" si="159"/>
        <v>7422</v>
      </c>
      <c r="M245" s="29">
        <f t="shared" si="159"/>
        <v>8332</v>
      </c>
      <c r="N245" s="29">
        <f t="shared" si="159"/>
        <v>71170</v>
      </c>
      <c r="O245" s="29">
        <f t="shared" si="159"/>
        <v>114614</v>
      </c>
      <c r="P245" s="29">
        <f t="shared" si="159"/>
        <v>142975.6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4.25" customHeight="1">
      <c r="A246" s="4" t="s">
        <v>243</v>
      </c>
      <c r="B246" s="29">
        <f t="shared" ref="B246:P246" si="160">C63</f>
        <v>0</v>
      </c>
      <c r="C246" s="29">
        <f t="shared" si="160"/>
        <v>0</v>
      </c>
      <c r="D246" s="29">
        <f t="shared" si="160"/>
        <v>0</v>
      </c>
      <c r="E246" s="29">
        <f t="shared" si="160"/>
        <v>0</v>
      </c>
      <c r="F246" s="29">
        <f t="shared" si="160"/>
        <v>0</v>
      </c>
      <c r="G246" s="29">
        <f t="shared" si="160"/>
        <v>0</v>
      </c>
      <c r="H246" s="29">
        <f t="shared" si="160"/>
        <v>0</v>
      </c>
      <c r="I246" s="29">
        <f t="shared" si="160"/>
        <v>0</v>
      </c>
      <c r="J246" s="29">
        <f t="shared" si="160"/>
        <v>10000</v>
      </c>
      <c r="K246" s="29">
        <f t="shared" si="160"/>
        <v>0</v>
      </c>
      <c r="L246" s="29">
        <f t="shared" si="160"/>
        <v>0</v>
      </c>
      <c r="M246" s="29">
        <f t="shared" si="160"/>
        <v>0</v>
      </c>
      <c r="N246" s="29">
        <f t="shared" si="160"/>
        <v>10000</v>
      </c>
      <c r="O246" s="29">
        <f t="shared" si="160"/>
        <v>276000</v>
      </c>
      <c r="P246" s="29">
        <f t="shared" si="160"/>
        <v>720000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4.25" customHeight="1">
      <c r="A247" s="4" t="s">
        <v>244</v>
      </c>
      <c r="B247" s="29">
        <f t="shared" ref="B247:P247" si="161">B73</f>
        <v>0</v>
      </c>
      <c r="C247" s="29">
        <f t="shared" si="161"/>
        <v>0</v>
      </c>
      <c r="D247" s="29">
        <f t="shared" si="161"/>
        <v>0</v>
      </c>
      <c r="E247" s="29">
        <f t="shared" si="161"/>
        <v>0</v>
      </c>
      <c r="F247" s="29">
        <f t="shared" si="161"/>
        <v>0</v>
      </c>
      <c r="G247" s="29">
        <f t="shared" si="161"/>
        <v>0</v>
      </c>
      <c r="H247" s="29">
        <f t="shared" si="161"/>
        <v>0</v>
      </c>
      <c r="I247" s="29">
        <f t="shared" si="161"/>
        <v>0</v>
      </c>
      <c r="J247" s="29">
        <f t="shared" si="161"/>
        <v>0</v>
      </c>
      <c r="K247" s="29">
        <f t="shared" si="161"/>
        <v>0</v>
      </c>
      <c r="L247" s="29">
        <f t="shared" si="161"/>
        <v>0</v>
      </c>
      <c r="M247" s="29">
        <f t="shared" si="161"/>
        <v>0</v>
      </c>
      <c r="N247" s="29">
        <f t="shared" si="161"/>
        <v>0</v>
      </c>
      <c r="O247" s="29">
        <f t="shared" si="161"/>
        <v>0</v>
      </c>
      <c r="P247" s="29">
        <f t="shared" si="161"/>
        <v>0</v>
      </c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4.25" customHeight="1">
      <c r="A248" s="4" t="s">
        <v>246</v>
      </c>
      <c r="B248" s="29">
        <f t="shared" ref="B248:P248" si="162">C92+C111+C130</f>
        <v>1520</v>
      </c>
      <c r="C248" s="29">
        <f t="shared" si="162"/>
        <v>1520</v>
      </c>
      <c r="D248" s="29">
        <f t="shared" si="162"/>
        <v>1520</v>
      </c>
      <c r="E248" s="29">
        <f t="shared" si="162"/>
        <v>1520</v>
      </c>
      <c r="F248" s="29">
        <f t="shared" si="162"/>
        <v>1520</v>
      </c>
      <c r="G248" s="29">
        <f t="shared" si="162"/>
        <v>1520</v>
      </c>
      <c r="H248" s="29">
        <f t="shared" si="162"/>
        <v>1830</v>
      </c>
      <c r="I248" s="29">
        <f t="shared" si="162"/>
        <v>1830</v>
      </c>
      <c r="J248" s="29">
        <f t="shared" si="162"/>
        <v>1830</v>
      </c>
      <c r="K248" s="29">
        <f t="shared" si="162"/>
        <v>1830</v>
      </c>
      <c r="L248" s="29">
        <f t="shared" si="162"/>
        <v>1830</v>
      </c>
      <c r="M248" s="29">
        <f t="shared" si="162"/>
        <v>1830</v>
      </c>
      <c r="N248" s="29">
        <f t="shared" si="162"/>
        <v>20100</v>
      </c>
      <c r="O248" s="29">
        <f t="shared" si="162"/>
        <v>24720</v>
      </c>
      <c r="P248" s="29">
        <f t="shared" si="162"/>
        <v>32640</v>
      </c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4.25" customHeight="1">
      <c r="A249" s="4" t="s">
        <v>247</v>
      </c>
      <c r="B249" s="29">
        <f t="shared" ref="B249:P249" si="163">B179+B181</f>
        <v>0</v>
      </c>
      <c r="C249" s="29">
        <f t="shared" si="163"/>
        <v>0</v>
      </c>
      <c r="D249" s="29">
        <f t="shared" si="163"/>
        <v>0</v>
      </c>
      <c r="E249" s="29">
        <f t="shared" si="163"/>
        <v>0</v>
      </c>
      <c r="F249" s="29">
        <f t="shared" si="163"/>
        <v>0</v>
      </c>
      <c r="G249" s="29">
        <f t="shared" si="163"/>
        <v>0</v>
      </c>
      <c r="H249" s="29">
        <f t="shared" si="163"/>
        <v>0</v>
      </c>
      <c r="I249" s="29">
        <f t="shared" si="163"/>
        <v>0</v>
      </c>
      <c r="J249" s="29">
        <f t="shared" si="163"/>
        <v>0</v>
      </c>
      <c r="K249" s="29">
        <f t="shared" si="163"/>
        <v>0</v>
      </c>
      <c r="L249" s="29">
        <f t="shared" si="163"/>
        <v>0</v>
      </c>
      <c r="M249" s="29">
        <f t="shared" si="163"/>
        <v>0</v>
      </c>
      <c r="N249" s="29">
        <f t="shared" si="163"/>
        <v>0</v>
      </c>
      <c r="O249" s="29">
        <f t="shared" si="163"/>
        <v>0</v>
      </c>
      <c r="P249" s="29">
        <f t="shared" si="163"/>
        <v>0</v>
      </c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4.25" customHeight="1">
      <c r="A250" s="4" t="s">
        <v>248</v>
      </c>
      <c r="B250" s="29">
        <f t="shared" ref="B250:P250" si="164">B182</f>
        <v>0</v>
      </c>
      <c r="C250" s="29">
        <f t="shared" si="164"/>
        <v>0</v>
      </c>
      <c r="D250" s="29">
        <f t="shared" si="164"/>
        <v>0</v>
      </c>
      <c r="E250" s="29">
        <f t="shared" si="164"/>
        <v>0</v>
      </c>
      <c r="F250" s="29">
        <f t="shared" si="164"/>
        <v>0</v>
      </c>
      <c r="G250" s="29">
        <f t="shared" si="164"/>
        <v>0</v>
      </c>
      <c r="H250" s="29">
        <f t="shared" si="164"/>
        <v>0</v>
      </c>
      <c r="I250" s="29">
        <f t="shared" si="164"/>
        <v>0</v>
      </c>
      <c r="J250" s="29">
        <f t="shared" si="164"/>
        <v>0</v>
      </c>
      <c r="K250" s="29">
        <f t="shared" si="164"/>
        <v>0</v>
      </c>
      <c r="L250" s="29">
        <f t="shared" si="164"/>
        <v>0</v>
      </c>
      <c r="M250" s="29">
        <f t="shared" si="164"/>
        <v>0</v>
      </c>
      <c r="N250" s="29">
        <f t="shared" si="164"/>
        <v>0</v>
      </c>
      <c r="O250" s="29">
        <f t="shared" si="164"/>
        <v>5000</v>
      </c>
      <c r="P250" s="29">
        <f t="shared" si="164"/>
        <v>27500</v>
      </c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>
      <c r="A251" s="4" t="s">
        <v>250</v>
      </c>
      <c r="B251" s="29">
        <v>0</v>
      </c>
      <c r="C251" s="29">
        <v>0</v>
      </c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f t="shared" ref="O251:P251" si="165">N207</f>
        <v>0</v>
      </c>
      <c r="P251" s="29">
        <f t="shared" si="165"/>
        <v>0</v>
      </c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4.25" customHeight="1">
      <c r="A252" s="4" t="s">
        <v>194</v>
      </c>
      <c r="B252" s="29">
        <f t="shared" ref="B252:P252" si="166">B186</f>
        <v>0</v>
      </c>
      <c r="C252" s="29">
        <f t="shared" si="166"/>
        <v>0</v>
      </c>
      <c r="D252" s="29">
        <f t="shared" si="166"/>
        <v>0</v>
      </c>
      <c r="E252" s="29">
        <f t="shared" si="166"/>
        <v>0</v>
      </c>
      <c r="F252" s="29">
        <f t="shared" si="166"/>
        <v>0</v>
      </c>
      <c r="G252" s="29">
        <f t="shared" si="166"/>
        <v>0</v>
      </c>
      <c r="H252" s="29">
        <f t="shared" si="166"/>
        <v>0</v>
      </c>
      <c r="I252" s="29">
        <f t="shared" si="166"/>
        <v>0</v>
      </c>
      <c r="J252" s="29">
        <f t="shared" si="166"/>
        <v>0</v>
      </c>
      <c r="K252" s="29">
        <f t="shared" si="166"/>
        <v>0</v>
      </c>
      <c r="L252" s="29">
        <f t="shared" si="166"/>
        <v>0</v>
      </c>
      <c r="M252" s="29">
        <f t="shared" si="166"/>
        <v>0</v>
      </c>
      <c r="N252" s="29">
        <f t="shared" si="166"/>
        <v>0</v>
      </c>
      <c r="O252" s="29">
        <f t="shared" si="166"/>
        <v>0</v>
      </c>
      <c r="P252" s="29">
        <f t="shared" si="166"/>
        <v>0</v>
      </c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4.25" customHeight="1">
      <c r="A253" s="4" t="s">
        <v>252</v>
      </c>
      <c r="B253" s="29">
        <f t="shared" ref="B253:P253" si="167">SUM(B245:B252)</f>
        <v>9250</v>
      </c>
      <c r="C253" s="29">
        <f t="shared" si="167"/>
        <v>8294</v>
      </c>
      <c r="D253" s="29">
        <f t="shared" si="167"/>
        <v>8598</v>
      </c>
      <c r="E253" s="29">
        <f t="shared" si="167"/>
        <v>6786</v>
      </c>
      <c r="F253" s="29">
        <f t="shared" si="167"/>
        <v>7078</v>
      </c>
      <c r="G253" s="29">
        <f t="shared" si="167"/>
        <v>5920</v>
      </c>
      <c r="H253" s="29">
        <f t="shared" si="167"/>
        <v>5966</v>
      </c>
      <c r="I253" s="29">
        <f t="shared" si="167"/>
        <v>5966</v>
      </c>
      <c r="J253" s="29">
        <f t="shared" si="167"/>
        <v>16470</v>
      </c>
      <c r="K253" s="29">
        <f t="shared" si="167"/>
        <v>7528</v>
      </c>
      <c r="L253" s="29">
        <f t="shared" si="167"/>
        <v>9252</v>
      </c>
      <c r="M253" s="29">
        <f t="shared" si="167"/>
        <v>10162</v>
      </c>
      <c r="N253" s="29">
        <f t="shared" si="167"/>
        <v>101270</v>
      </c>
      <c r="O253" s="29">
        <f t="shared" si="167"/>
        <v>420334</v>
      </c>
      <c r="P253" s="29">
        <f t="shared" si="167"/>
        <v>923115.6</v>
      </c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4.25" customHeight="1">
      <c r="A254" s="61" t="s">
        <v>254</v>
      </c>
      <c r="B254" s="62">
        <f t="shared" ref="B254:P254" si="168">B239+B244-B253</f>
        <v>64250</v>
      </c>
      <c r="C254" s="62">
        <f t="shared" si="168"/>
        <v>78020.963333333333</v>
      </c>
      <c r="D254" s="62">
        <f t="shared" si="168"/>
        <v>93500.815802777783</v>
      </c>
      <c r="E254" s="62">
        <f t="shared" si="168"/>
        <v>104802.0781492801</v>
      </c>
      <c r="F254" s="62">
        <f t="shared" si="168"/>
        <v>111817.18154773784</v>
      </c>
      <c r="G254" s="62">
        <f t="shared" si="168"/>
        <v>115993.76253236095</v>
      </c>
      <c r="H254" s="62">
        <f t="shared" si="168"/>
        <v>118126.11900113792</v>
      </c>
      <c r="I254" s="62">
        <f t="shared" si="168"/>
        <v>120260.25243363887</v>
      </c>
      <c r="J254" s="62">
        <f t="shared" si="168"/>
        <v>113885.07764400024</v>
      </c>
      <c r="K254" s="62">
        <f t="shared" si="168"/>
        <v>120457.37520870357</v>
      </c>
      <c r="L254" s="62">
        <f t="shared" si="168"/>
        <v>137319.71302137748</v>
      </c>
      <c r="M254" s="62">
        <f t="shared" si="168"/>
        <v>153285.34444889531</v>
      </c>
      <c r="N254" s="62">
        <f t="shared" si="168"/>
        <v>153285.34444889528</v>
      </c>
      <c r="O254" s="62">
        <f t="shared" si="168"/>
        <v>133616.10117113974</v>
      </c>
      <c r="P254" s="62">
        <f t="shared" si="168"/>
        <v>60803.003676995402</v>
      </c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.75" customHeight="1">
      <c r="A255" s="19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48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6">
      <c r="A256" s="3" t="s">
        <v>256</v>
      </c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48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4.25" customHeight="1">
      <c r="A257" s="2"/>
      <c r="B257" s="7" t="s">
        <v>14</v>
      </c>
      <c r="C257" s="7" t="s">
        <v>15</v>
      </c>
      <c r="D257" s="7" t="s">
        <v>16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4.25" customHeight="1">
      <c r="A258" s="4" t="s">
        <v>257</v>
      </c>
      <c r="B258" s="93">
        <f t="shared" ref="B258:D258" si="169">N208/N190</f>
        <v>0.46888505557780985</v>
      </c>
      <c r="C258" s="93">
        <f t="shared" si="169"/>
        <v>0.43707474462970375</v>
      </c>
      <c r="D258" s="93">
        <f t="shared" si="169"/>
        <v>0.36994642293130586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4.25" customHeight="1">
      <c r="A259" s="4" t="s">
        <v>258</v>
      </c>
      <c r="B259" s="93">
        <f t="shared" ref="B259:D259" si="170">IF(N227&lt;0,0,N208/N227)</f>
        <v>0.19586782351362123</v>
      </c>
      <c r="C259" s="93">
        <f t="shared" si="170"/>
        <v>0.21499023604677475</v>
      </c>
      <c r="D259" s="93">
        <f t="shared" si="170"/>
        <v>0.19525381189924365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4.25" customHeight="1">
      <c r="A260" s="4" t="s">
        <v>259</v>
      </c>
      <c r="B260" s="93">
        <f t="shared" ref="B260:D260" si="171">N210/N235</f>
        <v>0.19586782351362123</v>
      </c>
      <c r="C260" s="93">
        <f t="shared" si="171"/>
        <v>0.18470563155249972</v>
      </c>
      <c r="D260" s="93">
        <f t="shared" si="171"/>
        <v>0.11314401554005214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4.25" customHeight="1">
      <c r="A261" s="4" t="s">
        <v>260</v>
      </c>
      <c r="B261" s="93">
        <f t="shared" ref="B261:D261" si="172">IF(N227&lt;0,0,N227/N235)</f>
        <v>1</v>
      </c>
      <c r="C261" s="93">
        <f t="shared" si="172"/>
        <v>0.85913497723828669</v>
      </c>
      <c r="D261" s="93">
        <f t="shared" si="172"/>
        <v>0.57947148093803968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4.25" customHeight="1">
      <c r="A262" s="4" t="s">
        <v>262</v>
      </c>
      <c r="B262" s="93">
        <f t="shared" ref="B262:D262" si="173">1-B261</f>
        <v>0</v>
      </c>
      <c r="C262" s="93">
        <f t="shared" si="173"/>
        <v>0.14086502276171331</v>
      </c>
      <c r="D262" s="93">
        <f t="shared" si="173"/>
        <v>0.42052851906196032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4.25" customHeight="1">
      <c r="A263" s="19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4.25" customHeight="1">
      <c r="A264" s="19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6">
      <c r="A265" s="3" t="s">
        <v>263</v>
      </c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4.25" customHeight="1">
      <c r="A266" s="109" t="s">
        <v>302</v>
      </c>
      <c r="B266" s="97"/>
      <c r="C266" s="97"/>
      <c r="D266" s="97"/>
      <c r="E266" s="97"/>
      <c r="F266" s="97"/>
      <c r="G266" s="97"/>
      <c r="H266" s="97"/>
      <c r="I266" s="97"/>
      <c r="J266" s="97"/>
      <c r="K266" s="98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4.25" hidden="1" customHeight="1">
      <c r="A267" s="96" t="s">
        <v>264</v>
      </c>
      <c r="B267" s="97"/>
      <c r="C267" s="97"/>
      <c r="D267" s="97"/>
      <c r="E267" s="97"/>
      <c r="F267" s="97"/>
      <c r="G267" s="97"/>
      <c r="H267" s="97"/>
      <c r="I267" s="97"/>
      <c r="J267" s="97"/>
      <c r="K267" s="98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4.25" customHeight="1">
      <c r="A268" s="96" t="s">
        <v>265</v>
      </c>
      <c r="B268" s="97"/>
      <c r="C268" s="97"/>
      <c r="D268" s="97"/>
      <c r="E268" s="97"/>
      <c r="F268" s="97"/>
      <c r="G268" s="97"/>
      <c r="H268" s="97"/>
      <c r="I268" s="97"/>
      <c r="J268" s="97"/>
      <c r="K268" s="98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4.25" customHeight="1">
      <c r="A269" s="96" t="s">
        <v>266</v>
      </c>
      <c r="B269" s="97"/>
      <c r="C269" s="97"/>
      <c r="D269" s="97"/>
      <c r="E269" s="97"/>
      <c r="F269" s="97"/>
      <c r="G269" s="97"/>
      <c r="H269" s="97"/>
      <c r="I269" s="97"/>
      <c r="J269" s="97"/>
      <c r="K269" s="98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4.25" hidden="1" customHeight="1">
      <c r="A270" s="96" t="s">
        <v>267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8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4.25" hidden="1" customHeight="1">
      <c r="A271" s="96" t="s">
        <v>268</v>
      </c>
      <c r="B271" s="97"/>
      <c r="C271" s="97"/>
      <c r="D271" s="97"/>
      <c r="E271" s="97"/>
      <c r="F271" s="97"/>
      <c r="G271" s="97"/>
      <c r="H271" s="97"/>
      <c r="I271" s="97"/>
      <c r="J271" s="97"/>
      <c r="K271" s="98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4.25" customHeight="1">
      <c r="A272" s="96" t="s">
        <v>269</v>
      </c>
      <c r="B272" s="97"/>
      <c r="C272" s="97"/>
      <c r="D272" s="97"/>
      <c r="E272" s="97"/>
      <c r="F272" s="97"/>
      <c r="G272" s="97"/>
      <c r="H272" s="97"/>
      <c r="I272" s="97"/>
      <c r="J272" s="97"/>
      <c r="K272" s="98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4.25" customHeight="1">
      <c r="A273" s="96" t="s">
        <v>270</v>
      </c>
      <c r="B273" s="97"/>
      <c r="C273" s="97"/>
      <c r="D273" s="97"/>
      <c r="E273" s="97"/>
      <c r="F273" s="97"/>
      <c r="G273" s="97"/>
      <c r="H273" s="97"/>
      <c r="I273" s="97"/>
      <c r="J273" s="97"/>
      <c r="K273" s="98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4.25" customHeight="1">
      <c r="A274" s="96" t="s">
        <v>271</v>
      </c>
      <c r="B274" s="97"/>
      <c r="C274" s="97"/>
      <c r="D274" s="97"/>
      <c r="E274" s="97"/>
      <c r="F274" s="97"/>
      <c r="G274" s="97"/>
      <c r="H274" s="97"/>
      <c r="I274" s="97"/>
      <c r="J274" s="97"/>
      <c r="K274" s="98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4.25" customHeight="1">
      <c r="A289" s="19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4.25" customHeight="1">
      <c r="A290" s="19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4.25" customHeight="1">
      <c r="A291" s="19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4.25" customHeight="1">
      <c r="A292" s="19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4.25" customHeight="1">
      <c r="A293" s="19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4.25" customHeight="1">
      <c r="A294" s="19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4.25" customHeight="1">
      <c r="A295" s="19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4.25" customHeight="1">
      <c r="A296" s="19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4.25" customHeight="1">
      <c r="A297" s="19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4.25" customHeight="1">
      <c r="A298" s="19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4.25" customHeight="1">
      <c r="A299" s="19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4.25" customHeight="1">
      <c r="A300" s="19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4.25" customHeight="1">
      <c r="A301" s="19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4.25" customHeight="1">
      <c r="A302" s="19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4.25" customHeight="1">
      <c r="A303" s="19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4.25" customHeight="1">
      <c r="A304" s="19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4.25" customHeight="1">
      <c r="A305" s="19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4.25" customHeight="1">
      <c r="A306" s="19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4.25" customHeight="1">
      <c r="A307" s="19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4.25" customHeight="1">
      <c r="A308" s="19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4.25" customHeight="1">
      <c r="A309" s="19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4.25" customHeight="1">
      <c r="A310" s="19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4.25" customHeight="1">
      <c r="A311" s="19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4.25" customHeight="1">
      <c r="A312" s="19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4.25" customHeight="1">
      <c r="A313" s="19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4.25" customHeight="1">
      <c r="A314" s="19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4.25" customHeight="1">
      <c r="A315" s="19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4.25" customHeight="1">
      <c r="A316" s="19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4.25" customHeight="1">
      <c r="A317" s="19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4.25" customHeight="1">
      <c r="A318" s="19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4.25" customHeight="1">
      <c r="A319" s="19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4.25" customHeight="1">
      <c r="A320" s="19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4.25" customHeight="1">
      <c r="A321" s="19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4.25" customHeight="1">
      <c r="A322" s="19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4.25" customHeight="1">
      <c r="A323" s="19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4.25" customHeight="1">
      <c r="A324" s="19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4.25" customHeight="1">
      <c r="A325" s="19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4.25" customHeight="1">
      <c r="A326" s="19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4.25" customHeight="1">
      <c r="A327" s="19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4.25" customHeight="1">
      <c r="A328" s="19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4.25" customHeight="1">
      <c r="A329" s="19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4.25" customHeight="1">
      <c r="A330" s="19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4.25" customHeight="1">
      <c r="A331" s="19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4.25" customHeight="1">
      <c r="A332" s="19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4.25" customHeight="1">
      <c r="A333" s="19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4.25" customHeight="1">
      <c r="A334" s="19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4.25" customHeight="1">
      <c r="A335" s="19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4.25" customHeight="1">
      <c r="A336" s="19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4.25" customHeight="1">
      <c r="A337" s="19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4.25" customHeight="1">
      <c r="A338" s="19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4.25" customHeight="1">
      <c r="A339" s="19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4.25" customHeight="1">
      <c r="A340" s="19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4.25" customHeight="1">
      <c r="A341" s="19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4.25" customHeight="1">
      <c r="A342" s="19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4.25" customHeight="1">
      <c r="A343" s="19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4.25" customHeight="1">
      <c r="A344" s="19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4.25" customHeight="1">
      <c r="A345" s="19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4.25" customHeight="1">
      <c r="A346" s="19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4.25" customHeight="1">
      <c r="A347" s="19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4.25" customHeight="1">
      <c r="A348" s="19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4.25" customHeight="1">
      <c r="A349" s="19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4.25" customHeight="1">
      <c r="A350" s="19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4.25" customHeight="1">
      <c r="A351" s="19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4.25" customHeight="1">
      <c r="A352" s="19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4.25" customHeight="1">
      <c r="A353" s="19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4.25" customHeight="1">
      <c r="A354" s="19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4.25" customHeight="1">
      <c r="A355" s="19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4.25" customHeight="1">
      <c r="A356" s="19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4.25" customHeight="1">
      <c r="A357" s="19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4.25" customHeight="1">
      <c r="A358" s="19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4.25" customHeight="1">
      <c r="A359" s="19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4.25" customHeight="1">
      <c r="A360" s="19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4.25" customHeight="1">
      <c r="A361" s="19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4.25" customHeight="1">
      <c r="A362" s="19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4.25" customHeight="1">
      <c r="A363" s="19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4.25" customHeight="1">
      <c r="A364" s="19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4.25" customHeight="1">
      <c r="A365" s="19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4.25" customHeight="1">
      <c r="A366" s="19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4.25" customHeight="1">
      <c r="A367" s="19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4.25" customHeight="1">
      <c r="A368" s="19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4.25" customHeight="1">
      <c r="A369" s="19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4.25" customHeight="1">
      <c r="A370" s="19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4.25" customHeight="1">
      <c r="A371" s="19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4.25" customHeight="1">
      <c r="A372" s="19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4.25" customHeight="1">
      <c r="A373" s="19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4.25" customHeight="1">
      <c r="A374" s="19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4.25" customHeight="1">
      <c r="A375" s="19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4.25" customHeight="1">
      <c r="A376" s="19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4.25" customHeight="1">
      <c r="A377" s="19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4.25" customHeight="1">
      <c r="A378" s="19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4.25" customHeight="1">
      <c r="A379" s="19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4.25" customHeight="1">
      <c r="A380" s="19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4.25" customHeight="1">
      <c r="A381" s="19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4.25" customHeight="1">
      <c r="A382" s="19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4.25" customHeight="1">
      <c r="A383" s="19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4.25" customHeight="1">
      <c r="A384" s="19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4.25" customHeight="1">
      <c r="A385" s="19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4.25" customHeight="1">
      <c r="A386" s="19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4.25" customHeight="1">
      <c r="A387" s="19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4.25" customHeight="1">
      <c r="A388" s="19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4.25" customHeight="1">
      <c r="A389" s="19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4.25" customHeight="1">
      <c r="A390" s="19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4.25" customHeight="1">
      <c r="A391" s="19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4.25" customHeight="1">
      <c r="A392" s="19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4.25" customHeight="1">
      <c r="A393" s="19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4.25" customHeight="1">
      <c r="A394" s="19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4.25" customHeight="1">
      <c r="A395" s="19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4.25" customHeight="1">
      <c r="A396" s="19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4.25" customHeight="1">
      <c r="A397" s="19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4.25" customHeight="1">
      <c r="A398" s="19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4.25" customHeight="1">
      <c r="A399" s="19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4.25" customHeight="1">
      <c r="A400" s="19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4.25" customHeight="1">
      <c r="A401" s="19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4.25" customHeight="1">
      <c r="A402" s="19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4.25" customHeight="1">
      <c r="A403" s="19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4.25" customHeight="1">
      <c r="A404" s="19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4.25" customHeight="1">
      <c r="A405" s="19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4.25" customHeight="1">
      <c r="A406" s="19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4.25" customHeight="1">
      <c r="A407" s="19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4.25" customHeight="1">
      <c r="A408" s="19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4.25" customHeight="1">
      <c r="A409" s="19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4.25" customHeight="1">
      <c r="A410" s="19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4.25" customHeight="1">
      <c r="A411" s="19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4.25" customHeight="1">
      <c r="A412" s="19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4.25" customHeight="1">
      <c r="A413" s="19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4.25" customHeight="1">
      <c r="A414" s="19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4.25" customHeight="1">
      <c r="A415" s="19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4.25" customHeight="1">
      <c r="A416" s="19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4.25" customHeight="1">
      <c r="A417" s="19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4.25" customHeight="1">
      <c r="A418" s="19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4.25" customHeight="1">
      <c r="A419" s="19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4.25" customHeight="1">
      <c r="A420" s="19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4.25" customHeight="1">
      <c r="A421" s="19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4.25" customHeight="1">
      <c r="A422" s="19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4.25" customHeight="1">
      <c r="A423" s="19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4.25" customHeight="1">
      <c r="A424" s="19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4.25" customHeight="1">
      <c r="A425" s="19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4.25" customHeight="1">
      <c r="A426" s="19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4.25" customHeight="1">
      <c r="A427" s="19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4.25" customHeight="1">
      <c r="A428" s="19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4.25" customHeight="1">
      <c r="A429" s="19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4.25" customHeight="1">
      <c r="A430" s="19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4.25" customHeight="1">
      <c r="A431" s="19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4.25" customHeight="1">
      <c r="A432" s="19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4.25" customHeight="1">
      <c r="A433" s="19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4.25" customHeight="1">
      <c r="A434" s="19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4.25" customHeight="1">
      <c r="A435" s="19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4.25" customHeight="1">
      <c r="A436" s="19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4.25" customHeight="1">
      <c r="A437" s="19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4.25" customHeight="1">
      <c r="A438" s="19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4.25" customHeight="1">
      <c r="A439" s="19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4.25" customHeight="1">
      <c r="A440" s="19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4.25" customHeight="1">
      <c r="A441" s="19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4.25" customHeight="1">
      <c r="A442" s="19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4.25" customHeight="1">
      <c r="A443" s="19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4.25" customHeight="1">
      <c r="A444" s="19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4.25" customHeight="1">
      <c r="A445" s="19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4.25" customHeight="1">
      <c r="A446" s="19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4.25" customHeight="1">
      <c r="A447" s="19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4.25" customHeight="1">
      <c r="A448" s="19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4.25" customHeight="1">
      <c r="A449" s="19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4.25" customHeight="1">
      <c r="A450" s="19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4.25" customHeight="1">
      <c r="A451" s="19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4.25" customHeight="1">
      <c r="A452" s="19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4.25" customHeight="1">
      <c r="A453" s="19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4.25" customHeight="1">
      <c r="A454" s="19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4.25" customHeight="1">
      <c r="A455" s="19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4.25" customHeight="1">
      <c r="A456" s="19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4.25" customHeight="1">
      <c r="A457" s="19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4.25" customHeight="1">
      <c r="A458" s="19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4.25" customHeight="1">
      <c r="A459" s="19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4.25" customHeight="1">
      <c r="A460" s="19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4.25" customHeight="1">
      <c r="A461" s="19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4.25" customHeight="1">
      <c r="A462" s="19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4.25" customHeight="1">
      <c r="A463" s="19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4.25" customHeight="1">
      <c r="A464" s="19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4.25" customHeight="1">
      <c r="A465" s="19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4.25" customHeight="1">
      <c r="A466" s="19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4.25" customHeight="1">
      <c r="A467" s="19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4.25" customHeight="1">
      <c r="A468" s="19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4.25" customHeight="1">
      <c r="A469" s="19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4.25" customHeight="1">
      <c r="A470" s="19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4.25" customHeight="1">
      <c r="A471" s="19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4.25" customHeight="1">
      <c r="A472" s="19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4.25" customHeight="1">
      <c r="A473" s="19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4.25" customHeight="1">
      <c r="A474" s="19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4.25" customHeight="1">
      <c r="A475" s="19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4.25" customHeight="1">
      <c r="A476" s="19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4.25" customHeight="1">
      <c r="A477" s="19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4.25" customHeight="1">
      <c r="A478" s="19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4.25" customHeight="1">
      <c r="A479" s="19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4.25" customHeight="1">
      <c r="A480" s="19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4.25" customHeight="1">
      <c r="A481" s="19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4.25" customHeight="1">
      <c r="A482" s="19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4.25" customHeight="1">
      <c r="A483" s="19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4.25" customHeight="1">
      <c r="A484" s="19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4.25" customHeight="1">
      <c r="A485" s="19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4.25" customHeight="1">
      <c r="A486" s="19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4.25" customHeight="1">
      <c r="A487" s="19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4.25" customHeight="1">
      <c r="A488" s="19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4.25" customHeight="1">
      <c r="A489" s="19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4.25" customHeight="1">
      <c r="A490" s="19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4.25" customHeight="1">
      <c r="A491" s="19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4.25" customHeight="1">
      <c r="A492" s="19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4.25" customHeight="1">
      <c r="A493" s="19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4.25" customHeight="1">
      <c r="A494" s="19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4.25" customHeight="1">
      <c r="A495" s="19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4.25" customHeight="1">
      <c r="A496" s="19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4.25" customHeight="1">
      <c r="A497" s="19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4.25" customHeight="1">
      <c r="A498" s="19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4.25" customHeight="1">
      <c r="A499" s="19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4.25" customHeight="1">
      <c r="A500" s="19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4.25" customHeight="1">
      <c r="A501" s="19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4.25" customHeight="1">
      <c r="A502" s="19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4.25" customHeight="1">
      <c r="A503" s="19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4.25" customHeight="1">
      <c r="A504" s="19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4.25" customHeight="1">
      <c r="A505" s="19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4.25" customHeight="1">
      <c r="A506" s="19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4.25" customHeight="1">
      <c r="A507" s="19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4.25" customHeight="1">
      <c r="A508" s="19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4.25" customHeight="1">
      <c r="A509" s="19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4.25" customHeight="1">
      <c r="A510" s="19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4.25" customHeight="1">
      <c r="A511" s="19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4.25" customHeight="1">
      <c r="A512" s="19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4.25" customHeight="1">
      <c r="A513" s="19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4.25" customHeight="1">
      <c r="A514" s="19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4.25" customHeight="1">
      <c r="A515" s="19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4.25" customHeight="1">
      <c r="A516" s="19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4.25" customHeight="1">
      <c r="A517" s="19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4.25" customHeight="1">
      <c r="A518" s="19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4.25" customHeight="1">
      <c r="A519" s="19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4.25" customHeight="1">
      <c r="A520" s="19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4.25" customHeight="1">
      <c r="A521" s="19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4.25" customHeight="1">
      <c r="A522" s="19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4.25" customHeight="1">
      <c r="A523" s="19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4.25" customHeight="1">
      <c r="A524" s="19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4.25" customHeight="1">
      <c r="A525" s="19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4.25" customHeight="1">
      <c r="A526" s="19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4.25" customHeight="1">
      <c r="A527" s="19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4.25" customHeight="1">
      <c r="A528" s="19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4.25" customHeight="1">
      <c r="A529" s="19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4.25" customHeight="1">
      <c r="A530" s="19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4.25" customHeight="1">
      <c r="A531" s="19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4.25" customHeight="1">
      <c r="A532" s="19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4.25" customHeight="1">
      <c r="A533" s="19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4.25" customHeight="1">
      <c r="A534" s="19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4.25" customHeight="1">
      <c r="A535" s="19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4.25" customHeight="1">
      <c r="A536" s="19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4.25" customHeight="1">
      <c r="A537" s="19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4.25" customHeight="1">
      <c r="A538" s="19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4.25" customHeight="1">
      <c r="A539" s="19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4.25" customHeight="1">
      <c r="A540" s="19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4.25" customHeight="1">
      <c r="A541" s="19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4.25" customHeight="1">
      <c r="A542" s="19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4.25" customHeight="1">
      <c r="A543" s="19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4.25" customHeight="1">
      <c r="A544" s="19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4.25" customHeight="1">
      <c r="A545" s="19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4.25" customHeight="1">
      <c r="A546" s="19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4.25" customHeight="1">
      <c r="A547" s="19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4.25" customHeight="1">
      <c r="A548" s="19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4.25" customHeight="1">
      <c r="A549" s="19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4.25" customHeight="1">
      <c r="A550" s="19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4.25" customHeight="1">
      <c r="A551" s="19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4.25" customHeight="1">
      <c r="A552" s="19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4.25" customHeight="1">
      <c r="A553" s="19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4.25" customHeight="1">
      <c r="A554" s="19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4.25" customHeight="1">
      <c r="A555" s="19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4.25" customHeight="1">
      <c r="A556" s="19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4.25" customHeight="1">
      <c r="A557" s="19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4.25" customHeight="1">
      <c r="A558" s="19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4.25" customHeight="1">
      <c r="A559" s="19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4.25" customHeight="1">
      <c r="A560" s="19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4.25" customHeight="1">
      <c r="A561" s="19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4.25" customHeight="1">
      <c r="A562" s="19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4.25" customHeight="1">
      <c r="A563" s="19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4.25" customHeight="1">
      <c r="A564" s="19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4.25" customHeight="1">
      <c r="A565" s="19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4.25" customHeight="1">
      <c r="A566" s="19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4.25" customHeight="1">
      <c r="A567" s="19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4.25" customHeight="1">
      <c r="A568" s="19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4.25" customHeight="1">
      <c r="A569" s="19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4.25" customHeight="1">
      <c r="A570" s="19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4.25" customHeight="1">
      <c r="A571" s="19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4.25" customHeight="1">
      <c r="A572" s="19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4.25" customHeight="1">
      <c r="A573" s="19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4.25" customHeight="1">
      <c r="A574" s="19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4.25" customHeight="1">
      <c r="A575" s="19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4.25" customHeight="1">
      <c r="A576" s="19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4.25" customHeight="1">
      <c r="A577" s="19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4.25" customHeight="1">
      <c r="A578" s="19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4.25" customHeight="1">
      <c r="A579" s="19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4.25" customHeight="1">
      <c r="A580" s="19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4.25" customHeight="1">
      <c r="A581" s="19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4.25" customHeight="1">
      <c r="A582" s="19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4.25" customHeight="1">
      <c r="A583" s="19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4.25" customHeight="1">
      <c r="A584" s="19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4.25" customHeight="1">
      <c r="A585" s="19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4.25" customHeight="1">
      <c r="A586" s="19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4.25" customHeight="1">
      <c r="A587" s="19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4.25" customHeight="1">
      <c r="A588" s="19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4.25" customHeight="1">
      <c r="A589" s="19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4.25" customHeight="1">
      <c r="A590" s="19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4.25" customHeight="1">
      <c r="A591" s="19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4.25" customHeight="1">
      <c r="A592" s="19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4.25" customHeight="1">
      <c r="A593" s="19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4.25" customHeight="1">
      <c r="A594" s="19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4.25" customHeight="1">
      <c r="A595" s="19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4.25" customHeight="1">
      <c r="A596" s="19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4.25" customHeight="1">
      <c r="A597" s="19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4.25" customHeight="1">
      <c r="A598" s="19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4.25" customHeight="1">
      <c r="A599" s="19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4.25" customHeight="1">
      <c r="A600" s="19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4.25" customHeight="1">
      <c r="A601" s="19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4.25" customHeight="1">
      <c r="A602" s="19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4.25" customHeight="1">
      <c r="A603" s="19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4.25" customHeight="1">
      <c r="A604" s="19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4.25" customHeight="1">
      <c r="A605" s="19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4.25" customHeight="1">
      <c r="A606" s="19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4.25" customHeight="1">
      <c r="A607" s="19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4.25" customHeight="1">
      <c r="A608" s="19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4.25" customHeight="1">
      <c r="A609" s="19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4.25" customHeight="1">
      <c r="A610" s="19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4.25" customHeight="1">
      <c r="A611" s="19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4.25" customHeight="1">
      <c r="A612" s="19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4.25" customHeight="1">
      <c r="A613" s="19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4.25" customHeight="1">
      <c r="A614" s="19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4.25" customHeight="1">
      <c r="A615" s="19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4.25" customHeight="1">
      <c r="A616" s="19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4.25" customHeight="1">
      <c r="A617" s="19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4.25" customHeight="1">
      <c r="A618" s="19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4.25" customHeight="1">
      <c r="A619" s="19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4.25" customHeight="1">
      <c r="A620" s="19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4.25" customHeight="1">
      <c r="A621" s="19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4.25" customHeight="1">
      <c r="A622" s="19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4.25" customHeight="1">
      <c r="A623" s="19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4.25" customHeight="1">
      <c r="A624" s="19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4.25" customHeight="1">
      <c r="A625" s="19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4.25" customHeight="1">
      <c r="A626" s="19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4.25" customHeight="1">
      <c r="A627" s="19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4.25" customHeight="1">
      <c r="A628" s="19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4.25" customHeight="1">
      <c r="A629" s="19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4.25" customHeight="1">
      <c r="A630" s="19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4.25" customHeight="1">
      <c r="A631" s="19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4.25" customHeight="1">
      <c r="A632" s="19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4.25" customHeight="1">
      <c r="A633" s="19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4.25" customHeight="1">
      <c r="A634" s="19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4.25" customHeight="1">
      <c r="A635" s="19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4.25" customHeight="1">
      <c r="A636" s="19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4.25" customHeight="1">
      <c r="A637" s="19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4.25" customHeight="1">
      <c r="A638" s="19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4.25" customHeight="1">
      <c r="A639" s="19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4.25" customHeight="1">
      <c r="A640" s="19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4.25" customHeight="1">
      <c r="A641" s="19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4.25" customHeight="1">
      <c r="A642" s="19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4.25" customHeight="1">
      <c r="A643" s="19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4.25" customHeight="1">
      <c r="A644" s="19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4.25" customHeight="1">
      <c r="A645" s="19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4.25" customHeight="1">
      <c r="A646" s="19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4.25" customHeight="1">
      <c r="A647" s="19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4.25" customHeight="1">
      <c r="A648" s="19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4.25" customHeight="1">
      <c r="A649" s="19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4.25" customHeight="1">
      <c r="A650" s="19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4.25" customHeight="1">
      <c r="A651" s="19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4.25" customHeight="1">
      <c r="A652" s="19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4.25" customHeight="1">
      <c r="A653" s="19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4.25" customHeight="1">
      <c r="A654" s="19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4.25" customHeight="1">
      <c r="A655" s="19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4.25" customHeight="1">
      <c r="A656" s="19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4.25" customHeight="1">
      <c r="A657" s="19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4.25" customHeight="1">
      <c r="A658" s="19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4.25" customHeight="1">
      <c r="A659" s="19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4.25" customHeight="1">
      <c r="A660" s="19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4.25" customHeight="1">
      <c r="A661" s="19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4.25" customHeight="1">
      <c r="A662" s="19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4.25" customHeight="1">
      <c r="A663" s="19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4.25" customHeight="1">
      <c r="A664" s="19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4.25" customHeight="1">
      <c r="A665" s="19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4.25" customHeight="1">
      <c r="A666" s="19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4.25" customHeight="1">
      <c r="A667" s="19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4.25" customHeight="1">
      <c r="A668" s="19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4.25" customHeight="1">
      <c r="A669" s="19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4.25" customHeight="1">
      <c r="A670" s="19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4.25" customHeight="1">
      <c r="A671" s="19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4.25" customHeight="1">
      <c r="A672" s="19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4.25" customHeight="1">
      <c r="A673" s="19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4.25" customHeight="1">
      <c r="A674" s="19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4.25" customHeight="1">
      <c r="A675" s="19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4.25" customHeight="1">
      <c r="A676" s="19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4.25" customHeight="1">
      <c r="A677" s="19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4.25" customHeight="1">
      <c r="A678" s="19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4.25" customHeight="1">
      <c r="A679" s="19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4.25" customHeight="1">
      <c r="A680" s="19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4.25" customHeight="1">
      <c r="A681" s="19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4.25" customHeight="1">
      <c r="A682" s="19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4.25" customHeight="1">
      <c r="A683" s="19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4.25" customHeight="1">
      <c r="A684" s="19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4.25" customHeight="1">
      <c r="A685" s="19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4.25" customHeight="1">
      <c r="A686" s="19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4.25" customHeight="1">
      <c r="A687" s="19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4.25" customHeight="1">
      <c r="A688" s="19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4.25" customHeight="1">
      <c r="A689" s="19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4.25" customHeight="1">
      <c r="A690" s="19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4.25" customHeight="1">
      <c r="A691" s="19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4.25" customHeight="1">
      <c r="A692" s="19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4.25" customHeight="1">
      <c r="A693" s="19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4.25" customHeight="1">
      <c r="A694" s="19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4.25" customHeight="1">
      <c r="A695" s="19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4.25" customHeight="1">
      <c r="A696" s="19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4.25" customHeight="1">
      <c r="A697" s="19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4.25" customHeight="1">
      <c r="A698" s="19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4.25" customHeight="1">
      <c r="A699" s="19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4.25" customHeight="1">
      <c r="A700" s="19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4.25" customHeight="1">
      <c r="A701" s="19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4.25" customHeight="1">
      <c r="A702" s="19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4.25" customHeight="1">
      <c r="A703" s="19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4.25" customHeight="1">
      <c r="A704" s="19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4.25" customHeight="1">
      <c r="A705" s="19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4.25" customHeight="1">
      <c r="A706" s="19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4.25" customHeight="1">
      <c r="A707" s="19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4.25" customHeight="1">
      <c r="A708" s="19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4.25" customHeight="1">
      <c r="A709" s="19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4.25" customHeight="1">
      <c r="A710" s="19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4.25" customHeight="1">
      <c r="A711" s="19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4.25" customHeight="1">
      <c r="A712" s="19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4.25" customHeight="1">
      <c r="A713" s="19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4.25" customHeight="1">
      <c r="A714" s="19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4.25" customHeight="1">
      <c r="A715" s="19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4.25" customHeight="1">
      <c r="A716" s="19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4.25" customHeight="1">
      <c r="A717" s="19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4.25" customHeight="1">
      <c r="A718" s="19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4.25" customHeight="1">
      <c r="A719" s="19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4.25" customHeight="1">
      <c r="A720" s="19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4.25" customHeight="1">
      <c r="A721" s="19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4.25" customHeight="1">
      <c r="A722" s="19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4.25" customHeight="1">
      <c r="A723" s="19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4.25" customHeight="1">
      <c r="A724" s="19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4.25" customHeight="1">
      <c r="A725" s="19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4.25" customHeight="1">
      <c r="A726" s="19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4.25" customHeight="1">
      <c r="A727" s="19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4.25" customHeight="1">
      <c r="A728" s="19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4.25" customHeight="1">
      <c r="A729" s="19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4.25" customHeight="1">
      <c r="A730" s="19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4.25" customHeight="1">
      <c r="A731" s="19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4.25" customHeight="1">
      <c r="A732" s="19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4.25" customHeight="1">
      <c r="A733" s="19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4.25" customHeight="1">
      <c r="A734" s="19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4.25" customHeight="1">
      <c r="A735" s="19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4.25" customHeight="1">
      <c r="A736" s="19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4.25" customHeight="1">
      <c r="A737" s="19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4.25" customHeight="1">
      <c r="A738" s="19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4.25" customHeight="1">
      <c r="A739" s="19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4.25" customHeight="1">
      <c r="A740" s="19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4.25" customHeight="1">
      <c r="A741" s="19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4.25" customHeight="1">
      <c r="A742" s="19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4.25" customHeight="1">
      <c r="A743" s="19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4.25" customHeight="1">
      <c r="A744" s="19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4.25" customHeight="1">
      <c r="A745" s="19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4.25" customHeight="1">
      <c r="A746" s="19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4.25" customHeight="1">
      <c r="A747" s="19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4.25" customHeight="1">
      <c r="A748" s="19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4.25" customHeight="1">
      <c r="A749" s="19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4.25" customHeight="1">
      <c r="A750" s="19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4.25" customHeight="1">
      <c r="A751" s="19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4.25" customHeight="1">
      <c r="A752" s="19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4.25" customHeight="1">
      <c r="A753" s="19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4.25" customHeight="1">
      <c r="A754" s="19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4.25" customHeight="1">
      <c r="A755" s="19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4.25" customHeight="1">
      <c r="A756" s="19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4.25" customHeight="1">
      <c r="A757" s="19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4.25" customHeight="1">
      <c r="A758" s="19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4.25" customHeight="1">
      <c r="A759" s="19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4.25" customHeight="1">
      <c r="A760" s="19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4.25" customHeight="1">
      <c r="A761" s="19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4.25" customHeight="1">
      <c r="A762" s="19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4.25" customHeight="1">
      <c r="A763" s="19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4.25" customHeight="1">
      <c r="A764" s="19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4.25" customHeight="1">
      <c r="A765" s="19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4.25" customHeight="1">
      <c r="A766" s="19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4.25" customHeight="1">
      <c r="A767" s="19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4.25" customHeight="1">
      <c r="A768" s="19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4.25" customHeight="1">
      <c r="A769" s="19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4.25" customHeight="1">
      <c r="A770" s="19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4.25" customHeight="1">
      <c r="A771" s="19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4.25" customHeight="1">
      <c r="A772" s="19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4.25" customHeight="1">
      <c r="A773" s="19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4.25" customHeight="1">
      <c r="A774" s="19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4.25" customHeight="1">
      <c r="A775" s="19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4.25" customHeight="1">
      <c r="A776" s="19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4.25" customHeight="1">
      <c r="A777" s="19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4.25" customHeight="1">
      <c r="A778" s="19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4.25" customHeight="1">
      <c r="A779" s="19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4.25" customHeight="1">
      <c r="A780" s="19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4.25" customHeight="1">
      <c r="A781" s="19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4.25" customHeight="1">
      <c r="A782" s="19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4.25" customHeight="1">
      <c r="A783" s="19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4.25" customHeight="1">
      <c r="A784" s="19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4.25" customHeight="1">
      <c r="A785" s="19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4.25" customHeight="1">
      <c r="A786" s="19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4.25" customHeight="1">
      <c r="A787" s="19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4.25" customHeight="1">
      <c r="A788" s="19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4.25" customHeight="1">
      <c r="A789" s="19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4.25" customHeight="1">
      <c r="A790" s="19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4.25" customHeight="1">
      <c r="A791" s="19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4.25" customHeight="1">
      <c r="A792" s="19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4.25" customHeight="1">
      <c r="A793" s="19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4.25" customHeight="1">
      <c r="A794" s="19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4.25" customHeight="1">
      <c r="A795" s="19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4.25" customHeight="1">
      <c r="A796" s="19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4.25" customHeight="1">
      <c r="A797" s="19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4.25" customHeight="1">
      <c r="A798" s="19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4.25" customHeight="1">
      <c r="A799" s="19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4.25" customHeight="1">
      <c r="A800" s="19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4.25" customHeight="1">
      <c r="A801" s="19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4.25" customHeight="1">
      <c r="A802" s="19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4.25" customHeight="1">
      <c r="A803" s="19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4.25" customHeight="1">
      <c r="A804" s="19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4.25" customHeight="1">
      <c r="A805" s="19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4.25" customHeight="1">
      <c r="A806" s="19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4.25" customHeight="1">
      <c r="A807" s="19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4.25" customHeight="1">
      <c r="A808" s="19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4.25" customHeight="1">
      <c r="A809" s="19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4.25" customHeight="1">
      <c r="A810" s="19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4.25" customHeight="1">
      <c r="A811" s="19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4.25" customHeight="1">
      <c r="A812" s="19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4.25" customHeight="1">
      <c r="A813" s="19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4.25" customHeight="1">
      <c r="A814" s="19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4.25" customHeight="1">
      <c r="A815" s="19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4.25" customHeight="1">
      <c r="A816" s="19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4.25" customHeight="1">
      <c r="A817" s="19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4.25" customHeight="1">
      <c r="A818" s="19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4.25" customHeight="1">
      <c r="A819" s="19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4.25" customHeight="1">
      <c r="A820" s="19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4.25" customHeight="1">
      <c r="A821" s="19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4.25" customHeight="1">
      <c r="A822" s="19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4.25" customHeight="1">
      <c r="A823" s="19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4.25" customHeight="1">
      <c r="A824" s="19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4.25" customHeight="1">
      <c r="A825" s="19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4.25" customHeight="1">
      <c r="A826" s="19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4.25" customHeight="1">
      <c r="A827" s="19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4.25" customHeight="1">
      <c r="A828" s="19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4.25" customHeight="1">
      <c r="A829" s="19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4.25" customHeight="1">
      <c r="A830" s="19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4.25" customHeight="1">
      <c r="A831" s="19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4.25" customHeight="1">
      <c r="A832" s="19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4.25" customHeight="1">
      <c r="A833" s="19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4.25" customHeight="1">
      <c r="A834" s="19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4.25" customHeight="1">
      <c r="A835" s="19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4.25" customHeight="1">
      <c r="A836" s="19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4.25" customHeight="1">
      <c r="A837" s="19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4.25" customHeight="1">
      <c r="A838" s="19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4.25" customHeight="1">
      <c r="A839" s="19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4.25" customHeight="1">
      <c r="A840" s="19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4.25" customHeight="1">
      <c r="A841" s="19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4.25" customHeight="1">
      <c r="A842" s="19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4.25" customHeight="1">
      <c r="A843" s="19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4.25" customHeight="1">
      <c r="A844" s="19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4.25" customHeight="1">
      <c r="A845" s="19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4.25" customHeight="1">
      <c r="A846" s="19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4.25" customHeight="1">
      <c r="A847" s="19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4.25" customHeight="1">
      <c r="A848" s="19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4.25" customHeight="1">
      <c r="A849" s="19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4.25" customHeight="1">
      <c r="A850" s="19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4.25" customHeight="1">
      <c r="A851" s="19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4.25" customHeight="1">
      <c r="A852" s="19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4.25" customHeight="1">
      <c r="A853" s="19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4.25" customHeight="1">
      <c r="A854" s="19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4.25" customHeight="1">
      <c r="A855" s="19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4.25" customHeight="1">
      <c r="A856" s="19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4.25" customHeight="1">
      <c r="A857" s="19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4.25" customHeight="1">
      <c r="A858" s="19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4.25" customHeight="1">
      <c r="A859" s="19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4.25" customHeight="1">
      <c r="A860" s="19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4.25" customHeight="1">
      <c r="A861" s="19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4.25" customHeight="1">
      <c r="A862" s="19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4.25" customHeight="1">
      <c r="A863" s="19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4.25" customHeight="1">
      <c r="A864" s="19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4.25" customHeight="1">
      <c r="A865" s="19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4.25" customHeight="1">
      <c r="A866" s="19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4.25" customHeight="1">
      <c r="A867" s="19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4.25" customHeight="1">
      <c r="A868" s="19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4.25" customHeight="1">
      <c r="A869" s="19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4.25" customHeight="1">
      <c r="A870" s="19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4.25" customHeight="1">
      <c r="A871" s="19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4.25" customHeight="1">
      <c r="A872" s="19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4.25" customHeight="1">
      <c r="A873" s="19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4.25" customHeight="1">
      <c r="A874" s="19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4.25" customHeight="1">
      <c r="A875" s="19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4.25" customHeight="1">
      <c r="A876" s="19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4.25" customHeight="1">
      <c r="A877" s="19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4.25" customHeight="1">
      <c r="A878" s="19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4.25" customHeight="1">
      <c r="A879" s="19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4.25" customHeight="1">
      <c r="A880" s="19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4.25" customHeight="1">
      <c r="A881" s="19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4.25" customHeight="1">
      <c r="A882" s="19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4.25" customHeight="1">
      <c r="A883" s="19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4.25" customHeight="1">
      <c r="A884" s="19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4.25" customHeight="1">
      <c r="A885" s="19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4.25" customHeight="1">
      <c r="A886" s="19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4.25" customHeight="1">
      <c r="A887" s="19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4.25" customHeight="1">
      <c r="A888" s="19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4.25" customHeight="1">
      <c r="A889" s="19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4.25" customHeight="1">
      <c r="A890" s="19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4.25" customHeight="1">
      <c r="A891" s="19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4.25" customHeight="1">
      <c r="A892" s="19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4.25" customHeight="1">
      <c r="A893" s="19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4.25" customHeight="1">
      <c r="A894" s="19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4.25" customHeight="1">
      <c r="A895" s="19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4.25" customHeight="1">
      <c r="A896" s="19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4.25" customHeight="1">
      <c r="A897" s="19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4.25" customHeight="1">
      <c r="A898" s="19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4.25" customHeight="1">
      <c r="A899" s="19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4.25" customHeight="1">
      <c r="A900" s="19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4.25" customHeight="1">
      <c r="A901" s="19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4.25" customHeight="1">
      <c r="A902" s="19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4.25" customHeight="1">
      <c r="A903" s="19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4.25" customHeight="1">
      <c r="A904" s="19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4.25" customHeight="1">
      <c r="A905" s="19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4.25" customHeight="1">
      <c r="A906" s="19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4.25" customHeight="1">
      <c r="A907" s="19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4.25" customHeight="1">
      <c r="A908" s="19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4.25" customHeight="1">
      <c r="A909" s="19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4.25" customHeight="1">
      <c r="A910" s="19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4.25" customHeight="1">
      <c r="A911" s="19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4.25" customHeight="1">
      <c r="A912" s="19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4.25" customHeight="1">
      <c r="A913" s="19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4.25" customHeight="1">
      <c r="A914" s="19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4.25" customHeight="1">
      <c r="A915" s="19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4.25" customHeight="1">
      <c r="A916" s="19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4.25" customHeight="1">
      <c r="A917" s="19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4.25" customHeight="1">
      <c r="A918" s="19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4.25" customHeight="1">
      <c r="A919" s="19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4.25" customHeight="1">
      <c r="A920" s="19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4.25" customHeight="1">
      <c r="A921" s="19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4.25" customHeight="1">
      <c r="A922" s="19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4.25" customHeight="1">
      <c r="A923" s="19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4.25" customHeight="1">
      <c r="A924" s="19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4.25" customHeight="1">
      <c r="A925" s="19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4.25" customHeight="1">
      <c r="A926" s="19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4.25" customHeight="1">
      <c r="A927" s="19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4.25" customHeight="1">
      <c r="A928" s="19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4.25" customHeight="1">
      <c r="A929" s="19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4.25" customHeight="1">
      <c r="A930" s="19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4.25" customHeight="1">
      <c r="A931" s="19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4.25" customHeight="1">
      <c r="A932" s="19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4.25" customHeight="1">
      <c r="A933" s="19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4.25" customHeight="1">
      <c r="A934" s="19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4.25" customHeight="1">
      <c r="A935" s="19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4.25" customHeight="1">
      <c r="A936" s="19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4.25" customHeight="1">
      <c r="A937" s="19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4.25" customHeight="1">
      <c r="A938" s="19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4.25" customHeight="1">
      <c r="A939" s="19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4.25" customHeight="1">
      <c r="A940" s="19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4.25" customHeight="1">
      <c r="A941" s="19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4.25" customHeight="1">
      <c r="A942" s="19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4.25" customHeight="1">
      <c r="A943" s="19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4.25" customHeight="1">
      <c r="A944" s="19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4.25" customHeight="1">
      <c r="A945" s="19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4.25" customHeight="1">
      <c r="A946" s="19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4.25" customHeight="1">
      <c r="A947" s="19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4.25" customHeight="1">
      <c r="A948" s="19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4.25" customHeight="1">
      <c r="A949" s="19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4.25" customHeight="1">
      <c r="A950" s="19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4.25" customHeight="1">
      <c r="A951" s="19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4.25" customHeight="1">
      <c r="A952" s="19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4.25" customHeight="1">
      <c r="A953" s="19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4.25" customHeight="1">
      <c r="A954" s="19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4.25" customHeight="1">
      <c r="A955" s="19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4.25" customHeight="1">
      <c r="A956" s="19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4.25" customHeight="1">
      <c r="A957" s="19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4.25" customHeight="1">
      <c r="A958" s="19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4.25" customHeight="1">
      <c r="A959" s="19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4.25" customHeight="1">
      <c r="A960" s="19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4.25" customHeight="1">
      <c r="A961" s="19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4.25" customHeight="1">
      <c r="A962" s="19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4.25" customHeight="1">
      <c r="A963" s="19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4.25" customHeight="1">
      <c r="A964" s="19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4.25" customHeight="1">
      <c r="A965" s="19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4.25" customHeight="1">
      <c r="A966" s="19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4.25" customHeight="1">
      <c r="A967" s="19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4.25" customHeight="1">
      <c r="A968" s="19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4.25" customHeight="1">
      <c r="A969" s="19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4.25" customHeight="1">
      <c r="A970" s="19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4.25" customHeight="1">
      <c r="A971" s="19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4.25" customHeight="1">
      <c r="A972" s="19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4.25" customHeight="1">
      <c r="A973" s="19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4.25" customHeight="1">
      <c r="A974" s="19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4.25" customHeight="1">
      <c r="A975" s="19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4.25" customHeight="1">
      <c r="A976" s="19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4.25" customHeight="1">
      <c r="A977" s="19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4.25" customHeight="1">
      <c r="A978" s="19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4.25" customHeight="1">
      <c r="A979" s="19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4.25" customHeight="1">
      <c r="A980" s="19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4.25" customHeight="1">
      <c r="A981" s="19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4.25" customHeight="1">
      <c r="A982" s="19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4.25" customHeight="1">
      <c r="A983" s="19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4.25" customHeight="1">
      <c r="A984" s="19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4.25" customHeight="1">
      <c r="A985" s="19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4.25" customHeight="1">
      <c r="A986" s="19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4.25" customHeight="1">
      <c r="A987" s="19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4.25" customHeight="1">
      <c r="A988" s="19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4.25" customHeight="1">
      <c r="A989" s="19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4.25" customHeight="1">
      <c r="A990" s="19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4.25" customHeight="1">
      <c r="A991" s="19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4.25" customHeight="1">
      <c r="A992" s="19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4.25" customHeight="1">
      <c r="A993" s="19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4.25" customHeight="1">
      <c r="A994" s="19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4.25" customHeight="1">
      <c r="A995" s="19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4.25" customHeight="1">
      <c r="A996" s="19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4.25" customHeight="1">
      <c r="A997" s="19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4.25" customHeight="1">
      <c r="A998" s="19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4.25" customHeight="1">
      <c r="A999" s="19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4.25" customHeight="1">
      <c r="A1000" s="19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sheetProtection password="B7BB" sheet="1" objects="1" scenarios="1"/>
  <mergeCells count="3">
    <mergeCell ref="B25:N25"/>
    <mergeCell ref="B31:N31"/>
    <mergeCell ref="B37:N37"/>
  </mergeCells>
  <pageMargins left="0.7" right="0.7" top="0.75" bottom="0.75" header="0" footer="0"/>
  <pageSetup orientation="landscape" r:id="rId1"/>
  <headerFooter>
    <oddHeader>&amp;CFinanzplan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000"/>
  <sheetViews>
    <sheetView workbookViewId="0"/>
  </sheetViews>
  <sheetFormatPr baseColWidth="10" defaultColWidth="14.44140625" defaultRowHeight="15" customHeight="1"/>
  <cols>
    <col min="1" max="1" width="39.88671875" customWidth="1"/>
    <col min="2" max="2" width="11.44140625" customWidth="1"/>
    <col min="3" max="3" width="15.33203125" customWidth="1"/>
    <col min="4" max="4" width="15.5546875" customWidth="1"/>
    <col min="5" max="5" width="14.44140625" customWidth="1"/>
    <col min="6" max="19" width="10.109375" customWidth="1"/>
    <col min="20" max="21" width="8" customWidth="1"/>
    <col min="22" max="28" width="7.109375" customWidth="1"/>
    <col min="29" max="34" width="11.44140625" customWidth="1"/>
  </cols>
  <sheetData>
    <row r="1" spans="1:34" ht="17.25" customHeight="1">
      <c r="A1" s="108" t="s">
        <v>28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34" ht="14.25" customHeight="1">
      <c r="A2" s="2"/>
    </row>
    <row r="3" spans="1:34" ht="14.25" customHeight="1">
      <c r="A3" s="9" t="s">
        <v>29</v>
      </c>
      <c r="E3" s="104"/>
      <c r="F3" s="105"/>
      <c r="G3" s="104"/>
      <c r="H3" s="105"/>
      <c r="I3" s="104"/>
      <c r="J3" s="105"/>
      <c r="K3" s="104"/>
      <c r="L3" s="105"/>
      <c r="M3" s="104"/>
      <c r="N3" s="105"/>
      <c r="O3" s="104"/>
      <c r="P3" s="105"/>
      <c r="Q3" s="104"/>
      <c r="R3" s="105"/>
      <c r="S3" s="104"/>
      <c r="T3" s="105"/>
      <c r="U3" s="104"/>
      <c r="V3" s="105"/>
      <c r="W3" s="104"/>
      <c r="X3" s="105"/>
      <c r="Y3" s="104"/>
      <c r="Z3" s="105"/>
      <c r="AA3" s="104"/>
      <c r="AB3" s="105"/>
      <c r="AC3" s="106"/>
      <c r="AD3" s="105"/>
      <c r="AE3" s="106"/>
      <c r="AF3" s="105"/>
      <c r="AG3" s="106"/>
      <c r="AH3" s="105"/>
    </row>
    <row r="4" spans="1:34" ht="14.25" customHeight="1">
      <c r="A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2"/>
      <c r="AD4" s="12"/>
      <c r="AE4" s="12"/>
      <c r="AF4" s="12"/>
      <c r="AG4" s="12"/>
      <c r="AH4" s="12"/>
    </row>
    <row r="5" spans="1:34" ht="14.25" customHeight="1">
      <c r="A5" s="9"/>
      <c r="B5" s="107" t="s">
        <v>31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3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2"/>
      <c r="AD5" s="12"/>
      <c r="AE5" s="12"/>
      <c r="AF5" s="12"/>
      <c r="AG5" s="12"/>
      <c r="AH5" s="12"/>
    </row>
    <row r="6" spans="1:34" ht="14.25" customHeight="1">
      <c r="A6" s="2"/>
      <c r="B6" s="20" t="s">
        <v>35</v>
      </c>
      <c r="C6" s="22" t="s">
        <v>39</v>
      </c>
      <c r="D6" s="20" t="s">
        <v>44</v>
      </c>
      <c r="E6" s="20" t="s">
        <v>45</v>
      </c>
      <c r="F6" s="20" t="s">
        <v>46</v>
      </c>
      <c r="G6" s="20" t="s">
        <v>47</v>
      </c>
      <c r="H6" s="20" t="s">
        <v>49</v>
      </c>
      <c r="I6" s="20" t="s">
        <v>50</v>
      </c>
      <c r="J6" s="20" t="s">
        <v>51</v>
      </c>
      <c r="K6" s="20" t="s">
        <v>52</v>
      </c>
      <c r="L6" s="20" t="s">
        <v>53</v>
      </c>
      <c r="M6" s="20" t="s">
        <v>54</v>
      </c>
      <c r="N6" s="20" t="s">
        <v>56</v>
      </c>
      <c r="O6" s="23" t="s">
        <v>57</v>
      </c>
      <c r="P6" s="25"/>
      <c r="Q6" s="26"/>
      <c r="R6" s="27"/>
      <c r="S6" s="28"/>
      <c r="T6" s="27"/>
      <c r="U6" s="28"/>
      <c r="V6" s="27"/>
      <c r="W6" s="28"/>
      <c r="X6" s="27"/>
      <c r="Y6" s="28"/>
      <c r="Z6" s="27"/>
      <c r="AA6" s="28"/>
      <c r="AB6" s="27"/>
      <c r="AC6" s="28"/>
      <c r="AD6" s="27"/>
      <c r="AE6" s="28"/>
      <c r="AF6" s="27"/>
    </row>
    <row r="7" spans="1:34" ht="14.25" hidden="1" customHeight="1">
      <c r="A7" s="4" t="s">
        <v>65</v>
      </c>
      <c r="B7" s="30">
        <f t="shared" ref="B7:B14" si="0">O7/$O$15</f>
        <v>0</v>
      </c>
      <c r="C7" s="31">
        <f t="shared" ref="C7:O7" si="1">$C49*B62</f>
        <v>0</v>
      </c>
      <c r="D7" s="31">
        <f t="shared" si="1"/>
        <v>0</v>
      </c>
      <c r="E7" s="31">
        <f t="shared" si="1"/>
        <v>0</v>
      </c>
      <c r="F7" s="31">
        <f t="shared" si="1"/>
        <v>0</v>
      </c>
      <c r="G7" s="31">
        <f t="shared" si="1"/>
        <v>0</v>
      </c>
      <c r="H7" s="31">
        <f t="shared" si="1"/>
        <v>0</v>
      </c>
      <c r="I7" s="31">
        <f t="shared" si="1"/>
        <v>0</v>
      </c>
      <c r="J7" s="31">
        <f t="shared" si="1"/>
        <v>0</v>
      </c>
      <c r="K7" s="31">
        <f t="shared" si="1"/>
        <v>0</v>
      </c>
      <c r="L7" s="31">
        <f t="shared" si="1"/>
        <v>0</v>
      </c>
      <c r="M7" s="31">
        <f t="shared" si="1"/>
        <v>0</v>
      </c>
      <c r="N7" s="31">
        <f t="shared" si="1"/>
        <v>0</v>
      </c>
      <c r="O7" s="31">
        <f t="shared" si="1"/>
        <v>0</v>
      </c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4" ht="14.25" hidden="1" customHeight="1">
      <c r="A8" s="4" t="s">
        <v>72</v>
      </c>
      <c r="B8" s="30">
        <f t="shared" si="0"/>
        <v>0</v>
      </c>
      <c r="C8" s="31">
        <f t="shared" ref="C8:O8" si="2">$C50*B63</f>
        <v>0</v>
      </c>
      <c r="D8" s="31">
        <f t="shared" si="2"/>
        <v>0</v>
      </c>
      <c r="E8" s="31">
        <f t="shared" si="2"/>
        <v>0</v>
      </c>
      <c r="F8" s="31">
        <f t="shared" si="2"/>
        <v>0</v>
      </c>
      <c r="G8" s="31">
        <f t="shared" si="2"/>
        <v>0</v>
      </c>
      <c r="H8" s="31">
        <f t="shared" si="2"/>
        <v>0</v>
      </c>
      <c r="I8" s="31">
        <f t="shared" si="2"/>
        <v>0</v>
      </c>
      <c r="J8" s="31">
        <f t="shared" si="2"/>
        <v>0</v>
      </c>
      <c r="K8" s="31">
        <f t="shared" si="2"/>
        <v>0</v>
      </c>
      <c r="L8" s="31">
        <f t="shared" si="2"/>
        <v>0</v>
      </c>
      <c r="M8" s="31">
        <f t="shared" si="2"/>
        <v>0</v>
      </c>
      <c r="N8" s="31">
        <f t="shared" si="2"/>
        <v>0</v>
      </c>
      <c r="O8" s="31">
        <f t="shared" si="2"/>
        <v>0</v>
      </c>
      <c r="P8" s="33"/>
      <c r="Q8" s="34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4" ht="14.25" customHeight="1">
      <c r="A9" s="4" t="s">
        <v>74</v>
      </c>
      <c r="B9" s="30">
        <f t="shared" si="0"/>
        <v>0.23169955442393383</v>
      </c>
      <c r="C9" s="31">
        <f t="shared" ref="C9:O9" si="3">$C51*B64</f>
        <v>5200</v>
      </c>
      <c r="D9" s="31">
        <f t="shared" si="3"/>
        <v>5200</v>
      </c>
      <c r="E9" s="31">
        <f t="shared" si="3"/>
        <v>5200</v>
      </c>
      <c r="F9" s="31">
        <f t="shared" si="3"/>
        <v>5200</v>
      </c>
      <c r="G9" s="31">
        <f t="shared" si="3"/>
        <v>0</v>
      </c>
      <c r="H9" s="31">
        <f t="shared" si="3"/>
        <v>0</v>
      </c>
      <c r="I9" s="31">
        <f t="shared" si="3"/>
        <v>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5200</v>
      </c>
      <c r="N9" s="31">
        <f t="shared" si="3"/>
        <v>5200</v>
      </c>
      <c r="O9" s="31">
        <f t="shared" si="3"/>
        <v>31200</v>
      </c>
      <c r="P9" s="33"/>
      <c r="Q9" s="34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4" ht="14.25" customHeight="1">
      <c r="A10" s="4" t="s">
        <v>80</v>
      </c>
      <c r="B10" s="30">
        <f t="shared" si="0"/>
        <v>0.41290048801188206</v>
      </c>
      <c r="C10" s="31">
        <f t="shared" ref="C10:O10" si="4">$C52*B65</f>
        <v>6950</v>
      </c>
      <c r="D10" s="31">
        <f t="shared" si="4"/>
        <v>6950</v>
      </c>
      <c r="E10" s="31">
        <f t="shared" si="4"/>
        <v>6950</v>
      </c>
      <c r="F10" s="31">
        <f t="shared" si="4"/>
        <v>6950</v>
      </c>
      <c r="G10" s="31">
        <f t="shared" si="4"/>
        <v>6950</v>
      </c>
      <c r="H10" s="31">
        <f t="shared" si="4"/>
        <v>0</v>
      </c>
      <c r="I10" s="31">
        <f t="shared" si="4"/>
        <v>0</v>
      </c>
      <c r="J10" s="31">
        <f t="shared" si="4"/>
        <v>0</v>
      </c>
      <c r="K10" s="31">
        <f t="shared" si="4"/>
        <v>0</v>
      </c>
      <c r="L10" s="31">
        <f t="shared" si="4"/>
        <v>6950</v>
      </c>
      <c r="M10" s="31">
        <f t="shared" si="4"/>
        <v>6950</v>
      </c>
      <c r="N10" s="31">
        <f t="shared" si="4"/>
        <v>6950</v>
      </c>
      <c r="O10" s="31">
        <f t="shared" si="4"/>
        <v>55600</v>
      </c>
      <c r="P10" s="33"/>
      <c r="Q10" s="34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4" ht="14.25" customHeight="1">
      <c r="A11" s="4" t="s">
        <v>83</v>
      </c>
      <c r="B11" s="30">
        <f t="shared" si="0"/>
        <v>0</v>
      </c>
      <c r="C11" s="31">
        <f t="shared" ref="C11:N11" si="5">$C53*B66</f>
        <v>0</v>
      </c>
      <c r="D11" s="31">
        <f t="shared" si="5"/>
        <v>0</v>
      </c>
      <c r="E11" s="31">
        <f t="shared" si="5"/>
        <v>0</v>
      </c>
      <c r="F11" s="31">
        <f t="shared" si="5"/>
        <v>0</v>
      </c>
      <c r="G11" s="31">
        <f t="shared" si="5"/>
        <v>0</v>
      </c>
      <c r="H11" s="31">
        <f t="shared" si="5"/>
        <v>0</v>
      </c>
      <c r="I11" s="31">
        <f t="shared" si="5"/>
        <v>0</v>
      </c>
      <c r="J11" s="31">
        <f t="shared" si="5"/>
        <v>0</v>
      </c>
      <c r="K11" s="31">
        <f t="shared" si="5"/>
        <v>0</v>
      </c>
      <c r="L11" s="31">
        <f t="shared" si="5"/>
        <v>0</v>
      </c>
      <c r="M11" s="31">
        <f t="shared" si="5"/>
        <v>0</v>
      </c>
      <c r="N11" s="31">
        <f t="shared" si="5"/>
        <v>0</v>
      </c>
      <c r="O11" s="8">
        <f t="shared" ref="O11:O14" si="6">SUM(C11:N11)</f>
        <v>0</v>
      </c>
      <c r="P11" s="33"/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4" ht="14.25" customHeight="1">
      <c r="A12" s="4" t="s">
        <v>86</v>
      </c>
      <c r="B12" s="30">
        <f t="shared" si="0"/>
        <v>0</v>
      </c>
      <c r="C12" s="31">
        <f t="shared" ref="C12:N12" si="7">$C54*B67</f>
        <v>0</v>
      </c>
      <c r="D12" s="31">
        <f t="shared" si="7"/>
        <v>0</v>
      </c>
      <c r="E12" s="31">
        <f t="shared" si="7"/>
        <v>0</v>
      </c>
      <c r="F12" s="31">
        <f t="shared" si="7"/>
        <v>0</v>
      </c>
      <c r="G12" s="31">
        <f t="shared" si="7"/>
        <v>0</v>
      </c>
      <c r="H12" s="31">
        <f t="shared" si="7"/>
        <v>0</v>
      </c>
      <c r="I12" s="31">
        <f t="shared" si="7"/>
        <v>0</v>
      </c>
      <c r="J12" s="31">
        <f t="shared" si="7"/>
        <v>0</v>
      </c>
      <c r="K12" s="31">
        <f t="shared" si="7"/>
        <v>0</v>
      </c>
      <c r="L12" s="31">
        <f t="shared" si="7"/>
        <v>0</v>
      </c>
      <c r="M12" s="31">
        <f t="shared" si="7"/>
        <v>0</v>
      </c>
      <c r="N12" s="31">
        <f t="shared" si="7"/>
        <v>0</v>
      </c>
      <c r="O12" s="8">
        <f t="shared" si="6"/>
        <v>0</v>
      </c>
      <c r="P12" s="33"/>
      <c r="Q12" s="34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</row>
    <row r="13" spans="1:34" ht="14.25" customHeight="1">
      <c r="A13" s="4" t="s">
        <v>88</v>
      </c>
      <c r="B13" s="30">
        <f t="shared" si="0"/>
        <v>0.14746446000424362</v>
      </c>
      <c r="C13" s="31">
        <f t="shared" ref="C13:N13" si="8">$C55*B68</f>
        <v>1985.7142857142858</v>
      </c>
      <c r="D13" s="31">
        <f t="shared" si="8"/>
        <v>1985.7142857142858</v>
      </c>
      <c r="E13" s="31">
        <f t="shared" si="8"/>
        <v>1985.7142857142858</v>
      </c>
      <c r="F13" s="31">
        <f t="shared" si="8"/>
        <v>1985.7142857142858</v>
      </c>
      <c r="G13" s="31">
        <f t="shared" si="8"/>
        <v>992.85714285714289</v>
      </c>
      <c r="H13" s="31">
        <f t="shared" si="8"/>
        <v>992.85714285714289</v>
      </c>
      <c r="I13" s="31">
        <f t="shared" si="8"/>
        <v>992.85714285714289</v>
      </c>
      <c r="J13" s="31">
        <f t="shared" si="8"/>
        <v>992.85714285714289</v>
      </c>
      <c r="K13" s="31">
        <f t="shared" si="8"/>
        <v>992.85714285714289</v>
      </c>
      <c r="L13" s="31">
        <f t="shared" si="8"/>
        <v>992.85714285714289</v>
      </c>
      <c r="M13" s="31">
        <f t="shared" si="8"/>
        <v>2978.5714285714284</v>
      </c>
      <c r="N13" s="31">
        <f t="shared" si="8"/>
        <v>2978.5714285714284</v>
      </c>
      <c r="O13" s="8">
        <f t="shared" si="6"/>
        <v>19857.142857142859</v>
      </c>
      <c r="P13" s="33"/>
      <c r="Q13" s="34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4" ht="14.25" customHeight="1">
      <c r="A14" s="4" t="s">
        <v>91</v>
      </c>
      <c r="B14" s="30">
        <f t="shared" si="0"/>
        <v>0.20793549755994062</v>
      </c>
      <c r="C14" s="31">
        <f t="shared" ref="C14:N14" si="9">$C56*B69</f>
        <v>2800</v>
      </c>
      <c r="D14" s="31">
        <f t="shared" si="9"/>
        <v>3100</v>
      </c>
      <c r="E14" s="31">
        <f t="shared" si="9"/>
        <v>3400</v>
      </c>
      <c r="F14" s="31">
        <f t="shared" si="9"/>
        <v>2500</v>
      </c>
      <c r="G14" s="31">
        <f t="shared" si="9"/>
        <v>2000</v>
      </c>
      <c r="H14" s="31">
        <f t="shared" si="9"/>
        <v>1400</v>
      </c>
      <c r="I14" s="31">
        <f t="shared" si="9"/>
        <v>1100</v>
      </c>
      <c r="J14" s="31">
        <f t="shared" si="9"/>
        <v>1100</v>
      </c>
      <c r="K14" s="31">
        <f t="shared" si="9"/>
        <v>1400</v>
      </c>
      <c r="L14" s="31">
        <f t="shared" si="9"/>
        <v>2000</v>
      </c>
      <c r="M14" s="31">
        <f t="shared" si="9"/>
        <v>3600</v>
      </c>
      <c r="N14" s="31">
        <f t="shared" si="9"/>
        <v>3600</v>
      </c>
      <c r="O14" s="8">
        <f t="shared" si="6"/>
        <v>28000</v>
      </c>
      <c r="P14" s="33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4" ht="14.25" customHeight="1">
      <c r="A15" s="46" t="s">
        <v>94</v>
      </c>
      <c r="B15" s="47">
        <f t="shared" ref="B15:O15" si="10">SUM(B7:B14)</f>
        <v>1.0000000000000002</v>
      </c>
      <c r="C15" s="49">
        <f t="shared" si="10"/>
        <v>16935.714285714286</v>
      </c>
      <c r="D15" s="49">
        <f t="shared" si="10"/>
        <v>17235.714285714286</v>
      </c>
      <c r="E15" s="49">
        <f t="shared" si="10"/>
        <v>17535.714285714286</v>
      </c>
      <c r="F15" s="49">
        <f t="shared" si="10"/>
        <v>16635.714285714286</v>
      </c>
      <c r="G15" s="49">
        <f t="shared" si="10"/>
        <v>9942.8571428571431</v>
      </c>
      <c r="H15" s="49">
        <f t="shared" si="10"/>
        <v>2392.8571428571431</v>
      </c>
      <c r="I15" s="49">
        <f t="shared" si="10"/>
        <v>2092.8571428571431</v>
      </c>
      <c r="J15" s="49">
        <f t="shared" si="10"/>
        <v>2092.8571428571431</v>
      </c>
      <c r="K15" s="49">
        <f t="shared" si="10"/>
        <v>2392.8571428571431</v>
      </c>
      <c r="L15" s="49">
        <f t="shared" si="10"/>
        <v>9942.8571428571431</v>
      </c>
      <c r="M15" s="49">
        <f t="shared" si="10"/>
        <v>18728.571428571428</v>
      </c>
      <c r="N15" s="49">
        <f t="shared" si="10"/>
        <v>18728.571428571428</v>
      </c>
      <c r="O15" s="50">
        <f t="shared" si="10"/>
        <v>134657.14285714284</v>
      </c>
      <c r="P15" s="51"/>
      <c r="Q15" s="52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18"/>
      <c r="AH15" s="18"/>
    </row>
    <row r="16" spans="1:34" ht="14.25" hidden="1" customHeight="1">
      <c r="A16" s="26" t="s">
        <v>299</v>
      </c>
      <c r="B16" s="26"/>
      <c r="C16" s="34">
        <f>Financials!B43</f>
        <v>20000</v>
      </c>
      <c r="D16" s="34">
        <f>Financials!C43</f>
        <v>22000</v>
      </c>
      <c r="E16" s="34">
        <f>Financials!D43</f>
        <v>24000</v>
      </c>
      <c r="F16" s="34">
        <f>Financials!E43</f>
        <v>18000</v>
      </c>
      <c r="G16" s="34">
        <f>Financials!F43</f>
        <v>14000.000000000002</v>
      </c>
      <c r="H16" s="34">
        <f>Financials!G43</f>
        <v>10000</v>
      </c>
      <c r="I16" s="34">
        <f>Financials!H43</f>
        <v>8000</v>
      </c>
      <c r="J16" s="34">
        <f>Financials!I43</f>
        <v>8000</v>
      </c>
      <c r="K16" s="34">
        <f>Financials!J43</f>
        <v>10000</v>
      </c>
      <c r="L16" s="34">
        <f>Financials!K43</f>
        <v>14000.000000000002</v>
      </c>
      <c r="M16" s="34">
        <f>Financials!L43</f>
        <v>26000</v>
      </c>
      <c r="N16" s="34">
        <f>Financials!M43</f>
        <v>26000</v>
      </c>
      <c r="O16" s="55">
        <f>Financials!N43</f>
        <v>200000</v>
      </c>
      <c r="P16" s="26"/>
      <c r="Q16" s="26"/>
      <c r="R16" s="26"/>
    </row>
    <row r="17" spans="1:18" ht="14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15.6">
      <c r="A18" s="9"/>
      <c r="B18" s="107" t="s">
        <v>95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  <c r="P18" s="26"/>
      <c r="Q18" s="26"/>
      <c r="R18" s="26"/>
    </row>
    <row r="19" spans="1:18" ht="14.25" customHeight="1">
      <c r="A19" s="2"/>
      <c r="B19" s="20" t="s">
        <v>35</v>
      </c>
      <c r="C19" s="22" t="s">
        <v>39</v>
      </c>
      <c r="D19" s="20" t="s">
        <v>44</v>
      </c>
      <c r="E19" s="20" t="s">
        <v>45</v>
      </c>
      <c r="F19" s="20" t="s">
        <v>46</v>
      </c>
      <c r="G19" s="20" t="s">
        <v>47</v>
      </c>
      <c r="H19" s="20" t="s">
        <v>49</v>
      </c>
      <c r="I19" s="20" t="s">
        <v>50</v>
      </c>
      <c r="J19" s="20" t="s">
        <v>51</v>
      </c>
      <c r="K19" s="20" t="s">
        <v>52</v>
      </c>
      <c r="L19" s="20" t="s">
        <v>53</v>
      </c>
      <c r="M19" s="20" t="s">
        <v>54</v>
      </c>
      <c r="N19" s="20" t="s">
        <v>56</v>
      </c>
      <c r="O19" s="23" t="s">
        <v>57</v>
      </c>
      <c r="P19" s="26"/>
      <c r="Q19" s="26"/>
      <c r="R19" s="26"/>
    </row>
    <row r="20" spans="1:18" ht="14.25" hidden="1" customHeight="1">
      <c r="A20" s="4" t="s">
        <v>65</v>
      </c>
      <c r="B20" s="30">
        <f t="shared" ref="B20:B27" si="11">O20/$O$28</f>
        <v>0</v>
      </c>
      <c r="C20" s="31">
        <f t="shared" ref="C20:N20" si="12">$D49*B74</f>
        <v>0</v>
      </c>
      <c r="D20" s="31">
        <f t="shared" si="12"/>
        <v>0</v>
      </c>
      <c r="E20" s="31">
        <f t="shared" si="12"/>
        <v>0</v>
      </c>
      <c r="F20" s="31">
        <f t="shared" si="12"/>
        <v>0</v>
      </c>
      <c r="G20" s="31">
        <f t="shared" si="12"/>
        <v>0</v>
      </c>
      <c r="H20" s="31">
        <f t="shared" si="12"/>
        <v>0</v>
      </c>
      <c r="I20" s="31">
        <f t="shared" si="12"/>
        <v>0</v>
      </c>
      <c r="J20" s="31">
        <f t="shared" si="12"/>
        <v>0</v>
      </c>
      <c r="K20" s="31">
        <f t="shared" si="12"/>
        <v>0</v>
      </c>
      <c r="L20" s="31">
        <f t="shared" si="12"/>
        <v>0</v>
      </c>
      <c r="M20" s="31">
        <f t="shared" si="12"/>
        <v>0</v>
      </c>
      <c r="N20" s="31">
        <f t="shared" si="12"/>
        <v>0</v>
      </c>
      <c r="O20" s="8">
        <f t="shared" ref="O20:O27" si="13">SUM(C20:N20)</f>
        <v>0</v>
      </c>
      <c r="P20" s="26"/>
      <c r="Q20" s="26"/>
      <c r="R20" s="26"/>
    </row>
    <row r="21" spans="1:18" ht="14.25" hidden="1" customHeight="1">
      <c r="A21" s="4" t="s">
        <v>72</v>
      </c>
      <c r="B21" s="30">
        <f t="shared" si="11"/>
        <v>0</v>
      </c>
      <c r="C21" s="31">
        <f t="shared" ref="C21:N21" si="14">$D50*B75</f>
        <v>0</v>
      </c>
      <c r="D21" s="31">
        <f t="shared" si="14"/>
        <v>0</v>
      </c>
      <c r="E21" s="31">
        <f t="shared" si="14"/>
        <v>0</v>
      </c>
      <c r="F21" s="31">
        <f t="shared" si="14"/>
        <v>0</v>
      </c>
      <c r="G21" s="31">
        <f t="shared" si="14"/>
        <v>0</v>
      </c>
      <c r="H21" s="31">
        <f t="shared" si="14"/>
        <v>0</v>
      </c>
      <c r="I21" s="31">
        <f t="shared" si="14"/>
        <v>0</v>
      </c>
      <c r="J21" s="31">
        <f t="shared" si="14"/>
        <v>0</v>
      </c>
      <c r="K21" s="31">
        <f t="shared" si="14"/>
        <v>0</v>
      </c>
      <c r="L21" s="31">
        <f t="shared" si="14"/>
        <v>0</v>
      </c>
      <c r="M21" s="31">
        <f t="shared" si="14"/>
        <v>0</v>
      </c>
      <c r="N21" s="31">
        <f t="shared" si="14"/>
        <v>0</v>
      </c>
      <c r="O21" s="8">
        <f t="shared" si="13"/>
        <v>0</v>
      </c>
      <c r="P21" s="26"/>
      <c r="Q21" s="26"/>
      <c r="R21" s="26"/>
    </row>
    <row r="22" spans="1:18" ht="14.25" customHeight="1">
      <c r="A22" s="4" t="s">
        <v>74</v>
      </c>
      <c r="B22" s="30">
        <f t="shared" si="11"/>
        <v>0.13029626889713516</v>
      </c>
      <c r="C22" s="31">
        <f t="shared" ref="C22:N22" si="15">$D51*B76</f>
        <v>5460</v>
      </c>
      <c r="D22" s="31">
        <f t="shared" si="15"/>
        <v>5460</v>
      </c>
      <c r="E22" s="31">
        <f t="shared" si="15"/>
        <v>5460</v>
      </c>
      <c r="F22" s="31">
        <f t="shared" si="15"/>
        <v>5460</v>
      </c>
      <c r="G22" s="31">
        <f t="shared" si="15"/>
        <v>0</v>
      </c>
      <c r="H22" s="31">
        <f t="shared" si="15"/>
        <v>0</v>
      </c>
      <c r="I22" s="31">
        <f t="shared" si="15"/>
        <v>0</v>
      </c>
      <c r="J22" s="31">
        <f t="shared" si="15"/>
        <v>0</v>
      </c>
      <c r="K22" s="31">
        <f t="shared" si="15"/>
        <v>0</v>
      </c>
      <c r="L22" s="31">
        <f t="shared" si="15"/>
        <v>0</v>
      </c>
      <c r="M22" s="31">
        <f t="shared" si="15"/>
        <v>5460</v>
      </c>
      <c r="N22" s="31">
        <f t="shared" si="15"/>
        <v>5460</v>
      </c>
      <c r="O22" s="8">
        <f t="shared" si="13"/>
        <v>32760</v>
      </c>
      <c r="P22" s="26"/>
      <c r="Q22" s="26"/>
      <c r="R22" s="26"/>
    </row>
    <row r="23" spans="1:18" ht="14.25" customHeight="1">
      <c r="A23" s="4" t="s">
        <v>80</v>
      </c>
      <c r="B23" s="30">
        <f t="shared" si="11"/>
        <v>0.29024329129329784</v>
      </c>
      <c r="C23" s="31">
        <f t="shared" ref="C23:N23" si="16">$D52*B77</f>
        <v>7297.5</v>
      </c>
      <c r="D23" s="31">
        <f t="shared" si="16"/>
        <v>7297.5</v>
      </c>
      <c r="E23" s="31">
        <f t="shared" si="16"/>
        <v>7297.5</v>
      </c>
      <c r="F23" s="31">
        <f t="shared" si="16"/>
        <v>7297.5</v>
      </c>
      <c r="G23" s="31">
        <f t="shared" si="16"/>
        <v>7297.5</v>
      </c>
      <c r="H23" s="31">
        <f t="shared" si="16"/>
        <v>7297.5</v>
      </c>
      <c r="I23" s="31">
        <f t="shared" si="16"/>
        <v>0</v>
      </c>
      <c r="J23" s="31">
        <f t="shared" si="16"/>
        <v>0</v>
      </c>
      <c r="K23" s="31">
        <f t="shared" si="16"/>
        <v>7297.5</v>
      </c>
      <c r="L23" s="31">
        <f t="shared" si="16"/>
        <v>7297.5</v>
      </c>
      <c r="M23" s="31">
        <f t="shared" si="16"/>
        <v>7297.5</v>
      </c>
      <c r="N23" s="31">
        <f t="shared" si="16"/>
        <v>7297.5</v>
      </c>
      <c r="O23" s="8">
        <f t="shared" si="13"/>
        <v>72975</v>
      </c>
      <c r="P23" s="26"/>
      <c r="Q23" s="26"/>
      <c r="R23" s="26"/>
    </row>
    <row r="24" spans="1:18" ht="14.25" customHeight="1">
      <c r="A24" s="4" t="s">
        <v>83</v>
      </c>
      <c r="B24" s="30">
        <f t="shared" si="11"/>
        <v>0.33927143862830961</v>
      </c>
      <c r="C24" s="31">
        <f t="shared" ref="C24:N24" si="17">$D53*B78</f>
        <v>14217</v>
      </c>
      <c r="D24" s="31">
        <f t="shared" si="17"/>
        <v>14217</v>
      </c>
      <c r="E24" s="31">
        <f t="shared" si="17"/>
        <v>14217</v>
      </c>
      <c r="F24" s="31">
        <f t="shared" si="17"/>
        <v>14217</v>
      </c>
      <c r="G24" s="31">
        <f t="shared" si="17"/>
        <v>0</v>
      </c>
      <c r="H24" s="31">
        <f t="shared" si="17"/>
        <v>0</v>
      </c>
      <c r="I24" s="31">
        <f t="shared" si="17"/>
        <v>0</v>
      </c>
      <c r="J24" s="31">
        <f t="shared" si="17"/>
        <v>0</v>
      </c>
      <c r="K24" s="31">
        <f t="shared" si="17"/>
        <v>0</v>
      </c>
      <c r="L24" s="31">
        <f t="shared" si="17"/>
        <v>0</v>
      </c>
      <c r="M24" s="31">
        <f t="shared" si="17"/>
        <v>14217</v>
      </c>
      <c r="N24" s="31">
        <f t="shared" si="17"/>
        <v>14217</v>
      </c>
      <c r="O24" s="8">
        <f t="shared" si="13"/>
        <v>85302</v>
      </c>
      <c r="P24" s="26"/>
      <c r="Q24" s="26"/>
      <c r="R24" s="26"/>
    </row>
    <row r="25" spans="1:18" ht="14.25" customHeight="1">
      <c r="A25" s="4" t="s">
        <v>86</v>
      </c>
      <c r="B25" s="30">
        <f t="shared" si="11"/>
        <v>0</v>
      </c>
      <c r="C25" s="31">
        <f t="shared" ref="C25:N25" si="18">$D54*B79</f>
        <v>0</v>
      </c>
      <c r="D25" s="31">
        <f t="shared" si="18"/>
        <v>0</v>
      </c>
      <c r="E25" s="31">
        <f t="shared" si="18"/>
        <v>0</v>
      </c>
      <c r="F25" s="31">
        <f t="shared" si="18"/>
        <v>0</v>
      </c>
      <c r="G25" s="31">
        <f t="shared" si="18"/>
        <v>0</v>
      </c>
      <c r="H25" s="31">
        <f t="shared" si="18"/>
        <v>0</v>
      </c>
      <c r="I25" s="31">
        <f t="shared" si="18"/>
        <v>0</v>
      </c>
      <c r="J25" s="31">
        <f t="shared" si="18"/>
        <v>0</v>
      </c>
      <c r="K25" s="31">
        <f t="shared" si="18"/>
        <v>0</v>
      </c>
      <c r="L25" s="31">
        <f t="shared" si="18"/>
        <v>0</v>
      </c>
      <c r="M25" s="31">
        <f t="shared" si="18"/>
        <v>0</v>
      </c>
      <c r="N25" s="31">
        <f t="shared" si="18"/>
        <v>0</v>
      </c>
      <c r="O25" s="8">
        <f t="shared" si="13"/>
        <v>0</v>
      </c>
      <c r="P25" s="26"/>
      <c r="Q25" s="26"/>
      <c r="R25" s="26"/>
    </row>
    <row r="26" spans="1:18" ht="14.25" customHeight="1">
      <c r="A26" s="4" t="s">
        <v>88</v>
      </c>
      <c r="B26" s="30">
        <f t="shared" si="11"/>
        <v>0.10780465105179635</v>
      </c>
      <c r="C26" s="31">
        <f t="shared" ref="C26:N26" si="19">$D55*B80</f>
        <v>3127.5</v>
      </c>
      <c r="D26" s="31">
        <f t="shared" si="19"/>
        <v>3127.5</v>
      </c>
      <c r="E26" s="31">
        <f t="shared" si="19"/>
        <v>3127.5</v>
      </c>
      <c r="F26" s="31">
        <f t="shared" si="19"/>
        <v>3127.5</v>
      </c>
      <c r="G26" s="31">
        <f t="shared" si="19"/>
        <v>2085</v>
      </c>
      <c r="H26" s="31">
        <f t="shared" si="19"/>
        <v>1042.5</v>
      </c>
      <c r="I26" s="31">
        <f t="shared" si="19"/>
        <v>1042.5</v>
      </c>
      <c r="J26" s="31">
        <f t="shared" si="19"/>
        <v>1042.5</v>
      </c>
      <c r="K26" s="31">
        <f t="shared" si="19"/>
        <v>1042.5</v>
      </c>
      <c r="L26" s="31">
        <f t="shared" si="19"/>
        <v>2085</v>
      </c>
      <c r="M26" s="31">
        <f t="shared" si="19"/>
        <v>3127.5</v>
      </c>
      <c r="N26" s="31">
        <f t="shared" si="19"/>
        <v>3127.5</v>
      </c>
      <c r="O26" s="8">
        <f t="shared" si="13"/>
        <v>27105</v>
      </c>
      <c r="P26" s="26"/>
      <c r="Q26" s="26"/>
      <c r="R26" s="26"/>
    </row>
    <row r="27" spans="1:18" ht="14.25" customHeight="1">
      <c r="A27" s="4" t="s">
        <v>91</v>
      </c>
      <c r="B27" s="30">
        <f t="shared" si="11"/>
        <v>0.13238435012946104</v>
      </c>
      <c r="C27" s="31">
        <f t="shared" ref="C27:N27" si="20">$D56*B81</f>
        <v>3990</v>
      </c>
      <c r="D27" s="31">
        <f t="shared" si="20"/>
        <v>3990</v>
      </c>
      <c r="E27" s="31">
        <f t="shared" si="20"/>
        <v>3990</v>
      </c>
      <c r="F27" s="31">
        <f t="shared" si="20"/>
        <v>3255</v>
      </c>
      <c r="G27" s="31">
        <f t="shared" si="20"/>
        <v>2310</v>
      </c>
      <c r="H27" s="31">
        <f t="shared" si="20"/>
        <v>1680</v>
      </c>
      <c r="I27" s="31">
        <f t="shared" si="20"/>
        <v>1365</v>
      </c>
      <c r="J27" s="31">
        <f t="shared" si="20"/>
        <v>1365</v>
      </c>
      <c r="K27" s="31">
        <f t="shared" si="20"/>
        <v>1680</v>
      </c>
      <c r="L27" s="31">
        <f t="shared" si="20"/>
        <v>1995</v>
      </c>
      <c r="M27" s="31">
        <f t="shared" si="20"/>
        <v>3675</v>
      </c>
      <c r="N27" s="31">
        <f t="shared" si="20"/>
        <v>3990</v>
      </c>
      <c r="O27" s="8">
        <f t="shared" si="13"/>
        <v>33285</v>
      </c>
      <c r="P27" s="26"/>
      <c r="Q27" s="26"/>
      <c r="R27" s="26"/>
    </row>
    <row r="28" spans="1:18" ht="14.25" customHeight="1">
      <c r="A28" s="46" t="s">
        <v>94</v>
      </c>
      <c r="B28" s="47">
        <f t="shared" ref="B28:O28" si="21">SUM(B20:B27)</f>
        <v>1</v>
      </c>
      <c r="C28" s="49">
        <f t="shared" si="21"/>
        <v>34092</v>
      </c>
      <c r="D28" s="49">
        <f t="shared" si="21"/>
        <v>34092</v>
      </c>
      <c r="E28" s="49">
        <f t="shared" si="21"/>
        <v>34092</v>
      </c>
      <c r="F28" s="49">
        <f t="shared" si="21"/>
        <v>33357</v>
      </c>
      <c r="G28" s="49">
        <f t="shared" si="21"/>
        <v>11692.5</v>
      </c>
      <c r="H28" s="49">
        <f t="shared" si="21"/>
        <v>10020</v>
      </c>
      <c r="I28" s="49">
        <f t="shared" si="21"/>
        <v>2407.5</v>
      </c>
      <c r="J28" s="49">
        <f t="shared" si="21"/>
        <v>2407.5</v>
      </c>
      <c r="K28" s="49">
        <f t="shared" si="21"/>
        <v>10020</v>
      </c>
      <c r="L28" s="49">
        <f t="shared" si="21"/>
        <v>11377.5</v>
      </c>
      <c r="M28" s="49">
        <f t="shared" si="21"/>
        <v>33777</v>
      </c>
      <c r="N28" s="49">
        <f t="shared" si="21"/>
        <v>34092</v>
      </c>
      <c r="O28" s="49">
        <f t="shared" si="21"/>
        <v>251427</v>
      </c>
      <c r="P28" s="26"/>
      <c r="Q28" s="26"/>
      <c r="R28" s="26"/>
    </row>
    <row r="29" spans="1:18" ht="14.25" hidden="1" customHeight="1">
      <c r="A29" s="59"/>
      <c r="C29" s="60">
        <f>Financials!B44</f>
        <v>36000</v>
      </c>
      <c r="D29" s="60">
        <f>Financials!C44</f>
        <v>36000</v>
      </c>
      <c r="E29" s="60">
        <f>Financials!D44</f>
        <v>36000</v>
      </c>
      <c r="F29" s="60">
        <f>Financials!E44</f>
        <v>30000</v>
      </c>
      <c r="G29" s="60">
        <f>Financials!F44</f>
        <v>21000.000000000004</v>
      </c>
      <c r="H29" s="60">
        <f>Financials!G44</f>
        <v>15000</v>
      </c>
      <c r="I29" s="60">
        <f>Financials!H44</f>
        <v>12000</v>
      </c>
      <c r="J29" s="60">
        <f>Financials!I44</f>
        <v>12000</v>
      </c>
      <c r="K29" s="60">
        <f>Financials!J44</f>
        <v>15000</v>
      </c>
      <c r="L29" s="60">
        <f>Financials!K44</f>
        <v>18000</v>
      </c>
      <c r="M29" s="60">
        <f>Financials!L44</f>
        <v>33000</v>
      </c>
      <c r="N29" s="60">
        <f>Financials!M44</f>
        <v>36000</v>
      </c>
      <c r="O29" s="60">
        <f>Financials!N44</f>
        <v>300000</v>
      </c>
      <c r="P29" s="26"/>
      <c r="Q29" s="26"/>
      <c r="R29" s="26"/>
    </row>
    <row r="30" spans="1:18" ht="14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5.6">
      <c r="A31" s="9"/>
      <c r="B31" s="107" t="s">
        <v>106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26"/>
      <c r="Q31" s="26"/>
      <c r="R31" s="26"/>
    </row>
    <row r="32" spans="1:18" ht="14.25" customHeight="1">
      <c r="A32" s="2"/>
      <c r="B32" s="20" t="s">
        <v>35</v>
      </c>
      <c r="C32" s="22" t="s">
        <v>39</v>
      </c>
      <c r="D32" s="20" t="s">
        <v>44</v>
      </c>
      <c r="E32" s="20" t="s">
        <v>45</v>
      </c>
      <c r="F32" s="20" t="s">
        <v>46</v>
      </c>
      <c r="G32" s="20" t="s">
        <v>47</v>
      </c>
      <c r="H32" s="20" t="s">
        <v>49</v>
      </c>
      <c r="I32" s="20" t="s">
        <v>50</v>
      </c>
      <c r="J32" s="20" t="s">
        <v>51</v>
      </c>
      <c r="K32" s="20" t="s">
        <v>52</v>
      </c>
      <c r="L32" s="20" t="s">
        <v>53</v>
      </c>
      <c r="M32" s="20" t="s">
        <v>54</v>
      </c>
      <c r="N32" s="20" t="s">
        <v>56</v>
      </c>
      <c r="O32" s="23" t="s">
        <v>57</v>
      </c>
      <c r="P32" s="26"/>
      <c r="Q32" s="26"/>
      <c r="R32" s="26"/>
    </row>
    <row r="33" spans="1:18" ht="14.25" hidden="1" customHeight="1">
      <c r="A33" s="4" t="s">
        <v>65</v>
      </c>
      <c r="B33" s="30">
        <f t="shared" ref="B33:B40" si="22">O33/$O$41</f>
        <v>0</v>
      </c>
      <c r="C33" s="31">
        <f t="shared" ref="C33:N33" si="23">$E49*B86</f>
        <v>0</v>
      </c>
      <c r="D33" s="31">
        <f t="shared" si="23"/>
        <v>0</v>
      </c>
      <c r="E33" s="31">
        <f t="shared" si="23"/>
        <v>0</v>
      </c>
      <c r="F33" s="31">
        <f t="shared" si="23"/>
        <v>0</v>
      </c>
      <c r="G33" s="31">
        <f t="shared" si="23"/>
        <v>0</v>
      </c>
      <c r="H33" s="31">
        <f t="shared" si="23"/>
        <v>0</v>
      </c>
      <c r="I33" s="31">
        <f t="shared" si="23"/>
        <v>0</v>
      </c>
      <c r="J33" s="31">
        <f t="shared" si="23"/>
        <v>0</v>
      </c>
      <c r="K33" s="31">
        <f t="shared" si="23"/>
        <v>0</v>
      </c>
      <c r="L33" s="31">
        <f t="shared" si="23"/>
        <v>0</v>
      </c>
      <c r="M33" s="31">
        <f t="shared" si="23"/>
        <v>0</v>
      </c>
      <c r="N33" s="31">
        <f t="shared" si="23"/>
        <v>0</v>
      </c>
      <c r="O33" s="8">
        <f t="shared" ref="O33:O40" si="24">SUM(C33:N33)</f>
        <v>0</v>
      </c>
      <c r="P33" s="26"/>
      <c r="Q33" s="26"/>
      <c r="R33" s="26"/>
    </row>
    <row r="34" spans="1:18" ht="14.25" hidden="1" customHeight="1">
      <c r="A34" s="4" t="s">
        <v>72</v>
      </c>
      <c r="B34" s="30">
        <f t="shared" si="22"/>
        <v>0</v>
      </c>
      <c r="C34" s="31">
        <f t="shared" ref="C34:N34" si="25">$E50*B87</f>
        <v>0</v>
      </c>
      <c r="D34" s="31">
        <f t="shared" si="25"/>
        <v>0</v>
      </c>
      <c r="E34" s="31">
        <f t="shared" si="25"/>
        <v>0</v>
      </c>
      <c r="F34" s="31">
        <f t="shared" si="25"/>
        <v>0</v>
      </c>
      <c r="G34" s="31">
        <f t="shared" si="25"/>
        <v>0</v>
      </c>
      <c r="H34" s="31">
        <f t="shared" si="25"/>
        <v>0</v>
      </c>
      <c r="I34" s="31">
        <f t="shared" si="25"/>
        <v>0</v>
      </c>
      <c r="J34" s="31">
        <f t="shared" si="25"/>
        <v>0</v>
      </c>
      <c r="K34" s="31">
        <f t="shared" si="25"/>
        <v>0</v>
      </c>
      <c r="L34" s="31">
        <f t="shared" si="25"/>
        <v>0</v>
      </c>
      <c r="M34" s="31">
        <f t="shared" si="25"/>
        <v>0</v>
      </c>
      <c r="N34" s="31">
        <f t="shared" si="25"/>
        <v>0</v>
      </c>
      <c r="O34" s="8">
        <f t="shared" si="24"/>
        <v>0</v>
      </c>
      <c r="P34" s="26"/>
      <c r="Q34" s="26"/>
      <c r="R34" s="26"/>
    </row>
    <row r="35" spans="1:18" ht="14.25" customHeight="1">
      <c r="A35" s="4" t="s">
        <v>74</v>
      </c>
      <c r="B35" s="30">
        <f t="shared" si="22"/>
        <v>0.12026365493582084</v>
      </c>
      <c r="C35" s="31">
        <f t="shared" ref="C35:N35" si="26">$E51*B88</f>
        <v>5720.0000000000009</v>
      </c>
      <c r="D35" s="31">
        <f t="shared" si="26"/>
        <v>5720.0000000000009</v>
      </c>
      <c r="E35" s="31">
        <f t="shared" si="26"/>
        <v>5720.0000000000009</v>
      </c>
      <c r="F35" s="31">
        <f t="shared" si="26"/>
        <v>5720.0000000000009</v>
      </c>
      <c r="G35" s="31">
        <f t="shared" si="26"/>
        <v>0</v>
      </c>
      <c r="H35" s="31">
        <f t="shared" si="26"/>
        <v>0</v>
      </c>
      <c r="I35" s="31">
        <f t="shared" si="26"/>
        <v>0</v>
      </c>
      <c r="J35" s="31">
        <f t="shared" si="26"/>
        <v>0</v>
      </c>
      <c r="K35" s="31">
        <f t="shared" si="26"/>
        <v>0</v>
      </c>
      <c r="L35" s="31">
        <f t="shared" si="26"/>
        <v>0</v>
      </c>
      <c r="M35" s="31">
        <f t="shared" si="26"/>
        <v>5720.0000000000009</v>
      </c>
      <c r="N35" s="31">
        <f t="shared" si="26"/>
        <v>5720.0000000000009</v>
      </c>
      <c r="O35" s="8">
        <f t="shared" si="24"/>
        <v>34320.000000000007</v>
      </c>
      <c r="P35" s="26"/>
      <c r="Q35" s="26"/>
      <c r="R35" s="26"/>
    </row>
    <row r="36" spans="1:18" ht="14.25" customHeight="1">
      <c r="A36" s="4" t="s">
        <v>80</v>
      </c>
      <c r="B36" s="30">
        <f t="shared" si="22"/>
        <v>0.26789500057819066</v>
      </c>
      <c r="C36" s="31">
        <f t="shared" ref="C36:N36" si="27">$E52*B89</f>
        <v>7645.0000000000009</v>
      </c>
      <c r="D36" s="31">
        <f t="shared" si="27"/>
        <v>7645.0000000000009</v>
      </c>
      <c r="E36" s="31">
        <f t="shared" si="27"/>
        <v>7645.0000000000009</v>
      </c>
      <c r="F36" s="31">
        <f t="shared" si="27"/>
        <v>7645.0000000000009</v>
      </c>
      <c r="G36" s="31">
        <f t="shared" si="27"/>
        <v>7645.0000000000009</v>
      </c>
      <c r="H36" s="31">
        <f t="shared" si="27"/>
        <v>7645.0000000000009</v>
      </c>
      <c r="I36" s="31">
        <f t="shared" si="27"/>
        <v>0</v>
      </c>
      <c r="J36" s="31">
        <f t="shared" si="27"/>
        <v>0</v>
      </c>
      <c r="K36" s="31">
        <f t="shared" si="27"/>
        <v>7645.0000000000009</v>
      </c>
      <c r="L36" s="31">
        <f t="shared" si="27"/>
        <v>7645.0000000000009</v>
      </c>
      <c r="M36" s="31">
        <f t="shared" si="27"/>
        <v>7645.0000000000009</v>
      </c>
      <c r="N36" s="31">
        <f t="shared" si="27"/>
        <v>7645.0000000000009</v>
      </c>
      <c r="O36" s="8">
        <f t="shared" si="24"/>
        <v>76450.000000000015</v>
      </c>
      <c r="P36" s="26"/>
      <c r="Q36" s="26"/>
      <c r="R36" s="26"/>
    </row>
    <row r="37" spans="1:18" ht="14.25" customHeight="1">
      <c r="A37" s="4" t="s">
        <v>83</v>
      </c>
      <c r="B37" s="30">
        <f t="shared" si="22"/>
        <v>0.36533939791080444</v>
      </c>
      <c r="C37" s="31">
        <f t="shared" ref="C37:N37" si="28">$E53*B90</f>
        <v>14894.000000000002</v>
      </c>
      <c r="D37" s="31">
        <f t="shared" si="28"/>
        <v>14894.000000000002</v>
      </c>
      <c r="E37" s="31">
        <f t="shared" si="28"/>
        <v>14894.000000000002</v>
      </c>
      <c r="F37" s="31">
        <f t="shared" si="28"/>
        <v>14894.000000000002</v>
      </c>
      <c r="G37" s="31">
        <f t="shared" si="28"/>
        <v>14894.000000000002</v>
      </c>
      <c r="H37" s="31">
        <f t="shared" si="28"/>
        <v>0</v>
      </c>
      <c r="I37" s="31">
        <f t="shared" si="28"/>
        <v>0</v>
      </c>
      <c r="J37" s="31">
        <f t="shared" si="28"/>
        <v>0</v>
      </c>
      <c r="K37" s="31">
        <f t="shared" si="28"/>
        <v>0</v>
      </c>
      <c r="L37" s="31">
        <f t="shared" si="28"/>
        <v>0</v>
      </c>
      <c r="M37" s="31">
        <f t="shared" si="28"/>
        <v>14894.000000000002</v>
      </c>
      <c r="N37" s="31">
        <f t="shared" si="28"/>
        <v>14894.000000000002</v>
      </c>
      <c r="O37" s="8">
        <f t="shared" si="24"/>
        <v>104258.00000000001</v>
      </c>
      <c r="P37" s="26"/>
      <c r="Q37" s="26"/>
      <c r="R37" s="26"/>
    </row>
    <row r="38" spans="1:18" ht="14.25" customHeight="1">
      <c r="A38" s="4" t="s">
        <v>86</v>
      </c>
      <c r="B38" s="30">
        <f t="shared" si="22"/>
        <v>0</v>
      </c>
      <c r="C38" s="31">
        <f t="shared" ref="C38:N38" si="29">$E54*B91</f>
        <v>0</v>
      </c>
      <c r="D38" s="31">
        <f t="shared" si="29"/>
        <v>0</v>
      </c>
      <c r="E38" s="31">
        <f t="shared" si="29"/>
        <v>0</v>
      </c>
      <c r="F38" s="31">
        <f t="shared" si="29"/>
        <v>0</v>
      </c>
      <c r="G38" s="31">
        <f t="shared" si="29"/>
        <v>0</v>
      </c>
      <c r="H38" s="31">
        <f t="shared" si="29"/>
        <v>0</v>
      </c>
      <c r="I38" s="31">
        <f t="shared" si="29"/>
        <v>0</v>
      </c>
      <c r="J38" s="31">
        <f t="shared" si="29"/>
        <v>0</v>
      </c>
      <c r="K38" s="31">
        <f t="shared" si="29"/>
        <v>0</v>
      </c>
      <c r="L38" s="31">
        <f t="shared" si="29"/>
        <v>0</v>
      </c>
      <c r="M38" s="31">
        <f t="shared" si="29"/>
        <v>0</v>
      </c>
      <c r="N38" s="31">
        <f t="shared" si="29"/>
        <v>0</v>
      </c>
      <c r="O38" s="8">
        <f t="shared" si="24"/>
        <v>0</v>
      </c>
      <c r="P38" s="26"/>
      <c r="Q38" s="26"/>
      <c r="R38" s="26"/>
    </row>
    <row r="39" spans="1:18" ht="14.25" customHeight="1">
      <c r="A39" s="4" t="s">
        <v>88</v>
      </c>
      <c r="B39" s="30">
        <f t="shared" si="22"/>
        <v>0.13394750028909533</v>
      </c>
      <c r="C39" s="31">
        <f t="shared" ref="C39:N39" si="30">$E55*B92</f>
        <v>4368.5714285714294</v>
      </c>
      <c r="D39" s="31">
        <f t="shared" si="30"/>
        <v>4368.5714285714294</v>
      </c>
      <c r="E39" s="31">
        <f t="shared" si="30"/>
        <v>4368.5714285714294</v>
      </c>
      <c r="F39" s="31">
        <f t="shared" si="30"/>
        <v>4368.5714285714294</v>
      </c>
      <c r="G39" s="31">
        <f t="shared" si="30"/>
        <v>3276.428571428572</v>
      </c>
      <c r="H39" s="31">
        <f t="shared" si="30"/>
        <v>2184.2857142857147</v>
      </c>
      <c r="I39" s="31">
        <f t="shared" si="30"/>
        <v>1092.1428571428573</v>
      </c>
      <c r="J39" s="31">
        <f t="shared" si="30"/>
        <v>1092.1428571428573</v>
      </c>
      <c r="K39" s="31">
        <f t="shared" si="30"/>
        <v>2184.2857142857147</v>
      </c>
      <c r="L39" s="31">
        <f t="shared" si="30"/>
        <v>2184.2857142857147</v>
      </c>
      <c r="M39" s="31">
        <f t="shared" si="30"/>
        <v>4368.5714285714294</v>
      </c>
      <c r="N39" s="31">
        <f t="shared" si="30"/>
        <v>4368.5714285714294</v>
      </c>
      <c r="O39" s="8">
        <f t="shared" si="24"/>
        <v>38225.000000000007</v>
      </c>
      <c r="P39" s="26"/>
      <c r="Q39" s="26"/>
      <c r="R39" s="26"/>
    </row>
    <row r="40" spans="1:18" ht="14.25" customHeight="1">
      <c r="A40" s="4" t="s">
        <v>91</v>
      </c>
      <c r="B40" s="30">
        <f t="shared" si="22"/>
        <v>0.11255444628608872</v>
      </c>
      <c r="C40" s="31">
        <f t="shared" ref="C40:N40" si="31">$E56*B93</f>
        <v>3850.0000000000005</v>
      </c>
      <c r="D40" s="31">
        <f t="shared" si="31"/>
        <v>3850.0000000000005</v>
      </c>
      <c r="E40" s="31">
        <f t="shared" si="31"/>
        <v>3850.0000000000005</v>
      </c>
      <c r="F40" s="31">
        <f t="shared" si="31"/>
        <v>3190.0000000000005</v>
      </c>
      <c r="G40" s="31">
        <f t="shared" si="31"/>
        <v>2200.0000000000005</v>
      </c>
      <c r="H40" s="31">
        <f t="shared" si="31"/>
        <v>1650.0000000000002</v>
      </c>
      <c r="I40" s="31">
        <f t="shared" si="31"/>
        <v>1320.0000000000002</v>
      </c>
      <c r="J40" s="31">
        <f t="shared" si="31"/>
        <v>1320.0000000000002</v>
      </c>
      <c r="K40" s="31">
        <f t="shared" si="31"/>
        <v>1650.0000000000002</v>
      </c>
      <c r="L40" s="31">
        <f t="shared" si="31"/>
        <v>1870.0000000000002</v>
      </c>
      <c r="M40" s="31">
        <f t="shared" si="31"/>
        <v>3520.0000000000005</v>
      </c>
      <c r="N40" s="31">
        <f t="shared" si="31"/>
        <v>3850.0000000000005</v>
      </c>
      <c r="O40" s="8">
        <f t="shared" si="24"/>
        <v>32120.000000000004</v>
      </c>
      <c r="P40" s="26"/>
      <c r="Q40" s="26"/>
      <c r="R40" s="26"/>
    </row>
    <row r="41" spans="1:18" ht="14.25" customHeight="1">
      <c r="A41" s="46" t="s">
        <v>94</v>
      </c>
      <c r="B41" s="47">
        <f t="shared" ref="B41:O41" si="32">SUM(B33:B40)</f>
        <v>0.99999999999999989</v>
      </c>
      <c r="C41" s="49">
        <f t="shared" si="32"/>
        <v>36477.571428571435</v>
      </c>
      <c r="D41" s="49">
        <f t="shared" si="32"/>
        <v>36477.571428571435</v>
      </c>
      <c r="E41" s="49">
        <f t="shared" si="32"/>
        <v>36477.571428571435</v>
      </c>
      <c r="F41" s="49">
        <f t="shared" si="32"/>
        <v>35817.571428571435</v>
      </c>
      <c r="G41" s="49">
        <f t="shared" si="32"/>
        <v>28015.428571428576</v>
      </c>
      <c r="H41" s="49">
        <f t="shared" si="32"/>
        <v>11479.285714285716</v>
      </c>
      <c r="I41" s="49">
        <f t="shared" si="32"/>
        <v>2412.1428571428578</v>
      </c>
      <c r="J41" s="49">
        <f t="shared" si="32"/>
        <v>2412.1428571428578</v>
      </c>
      <c r="K41" s="49">
        <f t="shared" si="32"/>
        <v>11479.285714285716</v>
      </c>
      <c r="L41" s="49">
        <f t="shared" si="32"/>
        <v>11699.285714285716</v>
      </c>
      <c r="M41" s="49">
        <f t="shared" si="32"/>
        <v>36147.571428571435</v>
      </c>
      <c r="N41" s="49">
        <f t="shared" si="32"/>
        <v>36477.571428571435</v>
      </c>
      <c r="O41" s="49">
        <f t="shared" si="32"/>
        <v>285373.00000000006</v>
      </c>
      <c r="P41" s="26"/>
      <c r="Q41" s="26"/>
      <c r="R41" s="26"/>
    </row>
    <row r="42" spans="1:18" ht="14.25" hidden="1" customHeight="1">
      <c r="A42" s="26"/>
      <c r="C42" s="34">
        <f>Financials!B45</f>
        <v>48000</v>
      </c>
      <c r="D42" s="34">
        <f>Financials!C45</f>
        <v>48000</v>
      </c>
      <c r="E42" s="34">
        <f>Financials!D45</f>
        <v>48000</v>
      </c>
      <c r="F42" s="34">
        <f>Financials!E45</f>
        <v>40000</v>
      </c>
      <c r="G42" s="34">
        <f>Financials!F45</f>
        <v>28000.000000000004</v>
      </c>
      <c r="H42" s="34">
        <f>Financials!G45</f>
        <v>20000</v>
      </c>
      <c r="I42" s="34">
        <f>Financials!H45</f>
        <v>16000</v>
      </c>
      <c r="J42" s="34">
        <f>Financials!I45</f>
        <v>16000</v>
      </c>
      <c r="K42" s="34">
        <f>Financials!J45</f>
        <v>20000</v>
      </c>
      <c r="L42" s="34">
        <f>Financials!K45</f>
        <v>24000</v>
      </c>
      <c r="M42" s="34">
        <f>Financials!L45</f>
        <v>44000</v>
      </c>
      <c r="N42" s="34">
        <f>Financials!M45</f>
        <v>48000</v>
      </c>
      <c r="O42" s="34">
        <f>Financials!N45</f>
        <v>400000</v>
      </c>
      <c r="P42" s="34"/>
      <c r="Q42" s="26"/>
      <c r="R42" s="26"/>
    </row>
    <row r="43" spans="1:18" ht="14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1:18" ht="14.25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8" ht="15.6">
      <c r="A45" s="9" t="s">
        <v>116</v>
      </c>
      <c r="E45" s="104"/>
      <c r="F45" s="105"/>
      <c r="G45" s="104"/>
      <c r="H45" s="105"/>
      <c r="I45" s="104"/>
      <c r="J45" s="105"/>
      <c r="K45" s="104"/>
      <c r="L45" s="105"/>
      <c r="M45" s="104"/>
      <c r="N45" s="105"/>
      <c r="O45" s="104"/>
      <c r="P45" s="105"/>
      <c r="Q45" s="104"/>
      <c r="R45" s="105"/>
    </row>
    <row r="46" spans="1:18" ht="15.75" customHeight="1">
      <c r="A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15.6">
      <c r="A47" s="9"/>
      <c r="B47" s="9"/>
      <c r="C47" s="71" t="s">
        <v>31</v>
      </c>
      <c r="D47" s="71" t="s">
        <v>95</v>
      </c>
      <c r="E47" s="71" t="s">
        <v>106</v>
      </c>
      <c r="F47" s="72"/>
      <c r="G47" s="72"/>
      <c r="H47" s="72"/>
      <c r="I47" s="72"/>
      <c r="J47" s="10"/>
      <c r="K47" s="10"/>
      <c r="L47" s="10"/>
      <c r="M47" s="10"/>
      <c r="N47" s="10"/>
      <c r="O47" s="10"/>
      <c r="P47" s="10"/>
    </row>
    <row r="48" spans="1:18" ht="28.5" customHeight="1">
      <c r="A48" s="2"/>
      <c r="B48" s="73" t="s">
        <v>117</v>
      </c>
      <c r="C48" s="74" t="s">
        <v>119</v>
      </c>
      <c r="D48" s="74" t="s">
        <v>119</v>
      </c>
      <c r="E48" s="74" t="s">
        <v>119</v>
      </c>
      <c r="F48" s="75" t="s">
        <v>120</v>
      </c>
      <c r="G48" s="75" t="s">
        <v>121</v>
      </c>
      <c r="H48" s="75" t="s">
        <v>121</v>
      </c>
      <c r="I48" s="38"/>
    </row>
    <row r="49" spans="1:15" ht="14.25" hidden="1" customHeight="1">
      <c r="A49" s="4" t="s">
        <v>65</v>
      </c>
      <c r="B49" s="76" t="s">
        <v>122</v>
      </c>
      <c r="C49" s="78">
        <v>20</v>
      </c>
      <c r="D49" s="78">
        <f t="shared" ref="D49:D56" si="33">C49*1.05</f>
        <v>21</v>
      </c>
      <c r="E49" s="78">
        <f t="shared" ref="E49:E56" si="34">C49*1.1</f>
        <v>22</v>
      </c>
      <c r="F49" s="79">
        <v>0</v>
      </c>
      <c r="G49" s="79">
        <v>0</v>
      </c>
      <c r="H49" s="79">
        <v>0</v>
      </c>
      <c r="I49" s="38"/>
    </row>
    <row r="50" spans="1:15" ht="14.25" hidden="1" customHeight="1">
      <c r="A50" s="4" t="s">
        <v>72</v>
      </c>
      <c r="B50" s="76" t="s">
        <v>124</v>
      </c>
      <c r="C50" s="78">
        <v>8</v>
      </c>
      <c r="D50" s="78">
        <f t="shared" si="33"/>
        <v>8.4</v>
      </c>
      <c r="E50" s="78">
        <f t="shared" si="34"/>
        <v>8.8000000000000007</v>
      </c>
      <c r="F50" s="79">
        <v>0</v>
      </c>
      <c r="G50" s="79">
        <v>0</v>
      </c>
      <c r="H50" s="79">
        <v>0</v>
      </c>
      <c r="I50" s="38"/>
    </row>
    <row r="51" spans="1:15" ht="14.25" customHeight="1">
      <c r="A51" s="4" t="s">
        <v>74</v>
      </c>
      <c r="B51" s="76" t="s">
        <v>125</v>
      </c>
      <c r="C51" s="80">
        <v>5200</v>
      </c>
      <c r="D51" s="78">
        <f t="shared" si="33"/>
        <v>5460</v>
      </c>
      <c r="E51" s="78">
        <f t="shared" si="34"/>
        <v>5720.0000000000009</v>
      </c>
      <c r="F51" s="79">
        <v>0.15</v>
      </c>
      <c r="G51" s="79">
        <v>0.1</v>
      </c>
      <c r="H51" s="79">
        <v>0.08</v>
      </c>
      <c r="I51" s="38"/>
    </row>
    <row r="52" spans="1:15" ht="14.25" customHeight="1">
      <c r="A52" s="4" t="s">
        <v>80</v>
      </c>
      <c r="B52" s="76" t="s">
        <v>125</v>
      </c>
      <c r="C52" s="78">
        <v>6950</v>
      </c>
      <c r="D52" s="78">
        <f t="shared" si="33"/>
        <v>7297.5</v>
      </c>
      <c r="E52" s="78">
        <f t="shared" si="34"/>
        <v>7645.0000000000009</v>
      </c>
      <c r="F52" s="79">
        <v>0.28999999999999998</v>
      </c>
      <c r="G52" s="79">
        <v>0.26</v>
      </c>
      <c r="H52" s="79">
        <v>0.2</v>
      </c>
      <c r="I52" s="38"/>
    </row>
    <row r="53" spans="1:15" ht="14.25" customHeight="1">
      <c r="A53" s="4" t="s">
        <v>83</v>
      </c>
      <c r="B53" s="76" t="s">
        <v>125</v>
      </c>
      <c r="C53" s="78">
        <v>13540</v>
      </c>
      <c r="D53" s="78">
        <f t="shared" si="33"/>
        <v>14217</v>
      </c>
      <c r="E53" s="78">
        <f t="shared" si="34"/>
        <v>14894.000000000002</v>
      </c>
      <c r="F53" s="79">
        <v>0.2</v>
      </c>
      <c r="G53" s="79">
        <v>0.25</v>
      </c>
      <c r="H53" s="79">
        <v>0.3</v>
      </c>
      <c r="I53" s="38"/>
    </row>
    <row r="54" spans="1:15" ht="14.25" customHeight="1">
      <c r="A54" s="4" t="s">
        <v>86</v>
      </c>
      <c r="B54" s="76" t="s">
        <v>125</v>
      </c>
      <c r="C54" s="78">
        <v>26000</v>
      </c>
      <c r="D54" s="78">
        <f t="shared" si="33"/>
        <v>27300</v>
      </c>
      <c r="E54" s="78">
        <f t="shared" si="34"/>
        <v>28600.000000000004</v>
      </c>
      <c r="F54" s="79">
        <v>0.12</v>
      </c>
      <c r="G54" s="79">
        <v>0.18</v>
      </c>
      <c r="H54" s="79">
        <v>0.24</v>
      </c>
      <c r="I54" s="38"/>
    </row>
    <row r="55" spans="1:15" ht="14.25" customHeight="1">
      <c r="A55" s="4" t="s">
        <v>88</v>
      </c>
      <c r="B55" s="76" t="s">
        <v>130</v>
      </c>
      <c r="C55" s="78">
        <f>C52/7</f>
        <v>992.85714285714289</v>
      </c>
      <c r="D55" s="78">
        <f t="shared" si="33"/>
        <v>1042.5</v>
      </c>
      <c r="E55" s="78">
        <f t="shared" si="34"/>
        <v>1092.1428571428573</v>
      </c>
      <c r="F55" s="79">
        <v>0.1</v>
      </c>
      <c r="G55" s="79">
        <v>0.1</v>
      </c>
      <c r="H55" s="79">
        <v>0.1</v>
      </c>
      <c r="I55" s="38"/>
    </row>
    <row r="56" spans="1:15" ht="14.4">
      <c r="A56" s="4" t="s">
        <v>91</v>
      </c>
      <c r="B56" s="76" t="s">
        <v>132</v>
      </c>
      <c r="C56" s="78">
        <v>100</v>
      </c>
      <c r="D56" s="81">
        <f t="shared" si="33"/>
        <v>105</v>
      </c>
      <c r="E56" s="81">
        <f t="shared" si="34"/>
        <v>110.00000000000001</v>
      </c>
      <c r="F56" s="79">
        <v>0.14000000000000001</v>
      </c>
      <c r="G56" s="79">
        <v>0.11</v>
      </c>
      <c r="H56" s="79">
        <v>0.08</v>
      </c>
      <c r="I56" s="38"/>
    </row>
    <row r="57" spans="1:15" ht="14.25" customHeight="1">
      <c r="A57" s="2"/>
      <c r="E57" s="26"/>
      <c r="F57" s="79">
        <f t="shared" ref="F57:H57" si="35">SUM(F49:F56)</f>
        <v>0.99999999999999989</v>
      </c>
      <c r="G57" s="79">
        <f t="shared" si="35"/>
        <v>1</v>
      </c>
      <c r="H57" s="79">
        <f t="shared" si="35"/>
        <v>1</v>
      </c>
      <c r="I57" s="79">
        <f t="shared" ref="I57:K57" si="36">SUM(F49:F56)</f>
        <v>0.99999999999999989</v>
      </c>
      <c r="J57" s="79">
        <f t="shared" si="36"/>
        <v>1</v>
      </c>
      <c r="K57" s="79">
        <f t="shared" si="36"/>
        <v>1</v>
      </c>
    </row>
    <row r="58" spans="1:15" ht="14.25" customHeight="1">
      <c r="A58" s="2"/>
    </row>
    <row r="59" spans="1:15" ht="15.6">
      <c r="A59" s="9" t="s">
        <v>135</v>
      </c>
    </row>
    <row r="60" spans="1:15" ht="15.6">
      <c r="A60" s="9"/>
      <c r="B60" s="107" t="s">
        <v>31</v>
      </c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3"/>
      <c r="O60" s="10"/>
    </row>
    <row r="61" spans="1:15" ht="14.25" customHeight="1">
      <c r="A61" s="2"/>
      <c r="B61" s="20" t="s">
        <v>39</v>
      </c>
      <c r="C61" s="20" t="s">
        <v>44</v>
      </c>
      <c r="D61" s="20" t="s">
        <v>45</v>
      </c>
      <c r="E61" s="20" t="s">
        <v>46</v>
      </c>
      <c r="F61" s="20" t="s">
        <v>47</v>
      </c>
      <c r="G61" s="20" t="s">
        <v>49</v>
      </c>
      <c r="H61" s="20" t="s">
        <v>50</v>
      </c>
      <c r="I61" s="20" t="s">
        <v>51</v>
      </c>
      <c r="J61" s="20" t="s">
        <v>52</v>
      </c>
      <c r="K61" s="20" t="s">
        <v>53</v>
      </c>
      <c r="L61" s="20" t="s">
        <v>54</v>
      </c>
      <c r="M61" s="20" t="s">
        <v>56</v>
      </c>
      <c r="N61" s="23" t="s">
        <v>57</v>
      </c>
    </row>
    <row r="62" spans="1:15" ht="14.25" hidden="1" customHeight="1">
      <c r="A62" s="4" t="s">
        <v>65</v>
      </c>
      <c r="B62" s="8">
        <f t="shared" ref="B62:M62" si="37">ROUND(C$16*$F49/$C49,0)</f>
        <v>0</v>
      </c>
      <c r="C62" s="31">
        <f t="shared" si="37"/>
        <v>0</v>
      </c>
      <c r="D62" s="31">
        <f t="shared" si="37"/>
        <v>0</v>
      </c>
      <c r="E62" s="31">
        <f t="shared" si="37"/>
        <v>0</v>
      </c>
      <c r="F62" s="31">
        <f t="shared" si="37"/>
        <v>0</v>
      </c>
      <c r="G62" s="31">
        <f t="shared" si="37"/>
        <v>0</v>
      </c>
      <c r="H62" s="31">
        <f t="shared" si="37"/>
        <v>0</v>
      </c>
      <c r="I62" s="31">
        <f t="shared" si="37"/>
        <v>0</v>
      </c>
      <c r="J62" s="31">
        <f t="shared" si="37"/>
        <v>0</v>
      </c>
      <c r="K62" s="31">
        <f t="shared" si="37"/>
        <v>0</v>
      </c>
      <c r="L62" s="31">
        <f t="shared" si="37"/>
        <v>0</v>
      </c>
      <c r="M62" s="31">
        <f t="shared" si="37"/>
        <v>0</v>
      </c>
      <c r="N62" s="8">
        <f t="shared" ref="N62:N69" si="38">SUM(B62:M62)</f>
        <v>0</v>
      </c>
    </row>
    <row r="63" spans="1:15" ht="14.25" hidden="1" customHeight="1">
      <c r="A63" s="4" t="s">
        <v>72</v>
      </c>
      <c r="B63" s="8">
        <f t="shared" ref="B63:M63" si="39">ROUND(C$16*$F50/$C50,0)</f>
        <v>0</v>
      </c>
      <c r="C63" s="31">
        <f t="shared" si="39"/>
        <v>0</v>
      </c>
      <c r="D63" s="31">
        <f t="shared" si="39"/>
        <v>0</v>
      </c>
      <c r="E63" s="31">
        <f t="shared" si="39"/>
        <v>0</v>
      </c>
      <c r="F63" s="31">
        <f t="shared" si="39"/>
        <v>0</v>
      </c>
      <c r="G63" s="31">
        <f t="shared" si="39"/>
        <v>0</v>
      </c>
      <c r="H63" s="31">
        <f t="shared" si="39"/>
        <v>0</v>
      </c>
      <c r="I63" s="31">
        <f t="shared" si="39"/>
        <v>0</v>
      </c>
      <c r="J63" s="31">
        <f t="shared" si="39"/>
        <v>0</v>
      </c>
      <c r="K63" s="31">
        <f t="shared" si="39"/>
        <v>0</v>
      </c>
      <c r="L63" s="31">
        <f t="shared" si="39"/>
        <v>0</v>
      </c>
      <c r="M63" s="31">
        <f t="shared" si="39"/>
        <v>0</v>
      </c>
      <c r="N63" s="8">
        <f t="shared" si="38"/>
        <v>0</v>
      </c>
    </row>
    <row r="64" spans="1:15" ht="14.25" customHeight="1">
      <c r="A64" s="4" t="s">
        <v>74</v>
      </c>
      <c r="B64" s="8">
        <f t="shared" ref="B64:M64" si="40">ROUND(C$16*$F51/$C51,0)</f>
        <v>1</v>
      </c>
      <c r="C64" s="31">
        <f t="shared" si="40"/>
        <v>1</v>
      </c>
      <c r="D64" s="31">
        <f t="shared" si="40"/>
        <v>1</v>
      </c>
      <c r="E64" s="31">
        <f t="shared" si="40"/>
        <v>1</v>
      </c>
      <c r="F64" s="31">
        <f t="shared" si="40"/>
        <v>0</v>
      </c>
      <c r="G64" s="31">
        <f t="shared" si="40"/>
        <v>0</v>
      </c>
      <c r="H64" s="31">
        <f t="shared" si="40"/>
        <v>0</v>
      </c>
      <c r="I64" s="31">
        <f t="shared" si="40"/>
        <v>0</v>
      </c>
      <c r="J64" s="31">
        <f t="shared" si="40"/>
        <v>0</v>
      </c>
      <c r="K64" s="31">
        <f t="shared" si="40"/>
        <v>0</v>
      </c>
      <c r="L64" s="31">
        <f t="shared" si="40"/>
        <v>1</v>
      </c>
      <c r="M64" s="31">
        <f t="shared" si="40"/>
        <v>1</v>
      </c>
      <c r="N64" s="8">
        <f t="shared" si="38"/>
        <v>6</v>
      </c>
    </row>
    <row r="65" spans="1:14" ht="14.25" customHeight="1">
      <c r="A65" s="4" t="s">
        <v>80</v>
      </c>
      <c r="B65" s="8">
        <f t="shared" ref="B65:M65" si="41">ROUND(C$16*$F52/$C52,0)</f>
        <v>1</v>
      </c>
      <c r="C65" s="31">
        <f t="shared" si="41"/>
        <v>1</v>
      </c>
      <c r="D65" s="31">
        <f t="shared" si="41"/>
        <v>1</v>
      </c>
      <c r="E65" s="31">
        <f t="shared" si="41"/>
        <v>1</v>
      </c>
      <c r="F65" s="31">
        <f t="shared" si="41"/>
        <v>1</v>
      </c>
      <c r="G65" s="31">
        <f t="shared" si="41"/>
        <v>0</v>
      </c>
      <c r="H65" s="31">
        <f t="shared" si="41"/>
        <v>0</v>
      </c>
      <c r="I65" s="31">
        <f t="shared" si="41"/>
        <v>0</v>
      </c>
      <c r="J65" s="31">
        <f t="shared" si="41"/>
        <v>0</v>
      </c>
      <c r="K65" s="31">
        <f t="shared" si="41"/>
        <v>1</v>
      </c>
      <c r="L65" s="31">
        <f t="shared" si="41"/>
        <v>1</v>
      </c>
      <c r="M65" s="31">
        <f t="shared" si="41"/>
        <v>1</v>
      </c>
      <c r="N65" s="8">
        <f t="shared" si="38"/>
        <v>8</v>
      </c>
    </row>
    <row r="66" spans="1:14" ht="14.25" customHeight="1">
      <c r="A66" s="4" t="s">
        <v>83</v>
      </c>
      <c r="B66" s="8">
        <f t="shared" ref="B66:M66" si="42">ROUND(C$16*$F53/$C53,0)</f>
        <v>0</v>
      </c>
      <c r="C66" s="31">
        <f t="shared" si="42"/>
        <v>0</v>
      </c>
      <c r="D66" s="31">
        <f t="shared" si="42"/>
        <v>0</v>
      </c>
      <c r="E66" s="31">
        <f t="shared" si="42"/>
        <v>0</v>
      </c>
      <c r="F66" s="31">
        <f t="shared" si="42"/>
        <v>0</v>
      </c>
      <c r="G66" s="31">
        <f t="shared" si="42"/>
        <v>0</v>
      </c>
      <c r="H66" s="31">
        <f t="shared" si="42"/>
        <v>0</v>
      </c>
      <c r="I66" s="31">
        <f t="shared" si="42"/>
        <v>0</v>
      </c>
      <c r="J66" s="31">
        <f t="shared" si="42"/>
        <v>0</v>
      </c>
      <c r="K66" s="31">
        <f t="shared" si="42"/>
        <v>0</v>
      </c>
      <c r="L66" s="31">
        <f t="shared" si="42"/>
        <v>0</v>
      </c>
      <c r="M66" s="31">
        <f t="shared" si="42"/>
        <v>0</v>
      </c>
      <c r="N66" s="8">
        <f t="shared" si="38"/>
        <v>0</v>
      </c>
    </row>
    <row r="67" spans="1:14" ht="14.25" customHeight="1">
      <c r="A67" s="4" t="s">
        <v>86</v>
      </c>
      <c r="B67" s="8">
        <f t="shared" ref="B67:M67" si="43">ROUND(C$16*$F54/$C54,0)</f>
        <v>0</v>
      </c>
      <c r="C67" s="31">
        <f t="shared" si="43"/>
        <v>0</v>
      </c>
      <c r="D67" s="31">
        <f t="shared" si="43"/>
        <v>0</v>
      </c>
      <c r="E67" s="31">
        <f t="shared" si="43"/>
        <v>0</v>
      </c>
      <c r="F67" s="31">
        <f t="shared" si="43"/>
        <v>0</v>
      </c>
      <c r="G67" s="31">
        <f t="shared" si="43"/>
        <v>0</v>
      </c>
      <c r="H67" s="31">
        <f t="shared" si="43"/>
        <v>0</v>
      </c>
      <c r="I67" s="31">
        <f t="shared" si="43"/>
        <v>0</v>
      </c>
      <c r="J67" s="31">
        <f t="shared" si="43"/>
        <v>0</v>
      </c>
      <c r="K67" s="31">
        <f t="shared" si="43"/>
        <v>0</v>
      </c>
      <c r="L67" s="31">
        <f t="shared" si="43"/>
        <v>0</v>
      </c>
      <c r="M67" s="31">
        <f t="shared" si="43"/>
        <v>0</v>
      </c>
      <c r="N67" s="8">
        <f t="shared" si="38"/>
        <v>0</v>
      </c>
    </row>
    <row r="68" spans="1:14" ht="14.25" customHeight="1">
      <c r="A68" s="4" t="s">
        <v>88</v>
      </c>
      <c r="B68" s="8">
        <f t="shared" ref="B68:M68" si="44">ROUND(C$16*$F55/$C55,0)</f>
        <v>2</v>
      </c>
      <c r="C68" s="31">
        <f t="shared" si="44"/>
        <v>2</v>
      </c>
      <c r="D68" s="31">
        <f t="shared" si="44"/>
        <v>2</v>
      </c>
      <c r="E68" s="31">
        <f t="shared" si="44"/>
        <v>2</v>
      </c>
      <c r="F68" s="31">
        <f t="shared" si="44"/>
        <v>1</v>
      </c>
      <c r="G68" s="31">
        <f t="shared" si="44"/>
        <v>1</v>
      </c>
      <c r="H68" s="31">
        <f t="shared" si="44"/>
        <v>1</v>
      </c>
      <c r="I68" s="31">
        <f t="shared" si="44"/>
        <v>1</v>
      </c>
      <c r="J68" s="31">
        <f t="shared" si="44"/>
        <v>1</v>
      </c>
      <c r="K68" s="31">
        <f t="shared" si="44"/>
        <v>1</v>
      </c>
      <c r="L68" s="31">
        <f t="shared" si="44"/>
        <v>3</v>
      </c>
      <c r="M68" s="31">
        <f t="shared" si="44"/>
        <v>3</v>
      </c>
      <c r="N68" s="8">
        <f t="shared" si="38"/>
        <v>20</v>
      </c>
    </row>
    <row r="69" spans="1:14" ht="14.25" customHeight="1">
      <c r="A69" s="4" t="s">
        <v>91</v>
      </c>
      <c r="B69" s="8">
        <f t="shared" ref="B69:M69" si="45">ROUND(C$16*$F56/$C56,0)</f>
        <v>28</v>
      </c>
      <c r="C69" s="31">
        <f t="shared" si="45"/>
        <v>31</v>
      </c>
      <c r="D69" s="31">
        <f t="shared" si="45"/>
        <v>34</v>
      </c>
      <c r="E69" s="31">
        <f t="shared" si="45"/>
        <v>25</v>
      </c>
      <c r="F69" s="31">
        <f t="shared" si="45"/>
        <v>20</v>
      </c>
      <c r="G69" s="31">
        <f t="shared" si="45"/>
        <v>14</v>
      </c>
      <c r="H69" s="31">
        <f t="shared" si="45"/>
        <v>11</v>
      </c>
      <c r="I69" s="31">
        <f t="shared" si="45"/>
        <v>11</v>
      </c>
      <c r="J69" s="31">
        <f t="shared" si="45"/>
        <v>14</v>
      </c>
      <c r="K69" s="31">
        <f t="shared" si="45"/>
        <v>20</v>
      </c>
      <c r="L69" s="31">
        <f t="shared" si="45"/>
        <v>36</v>
      </c>
      <c r="M69" s="31">
        <f t="shared" si="45"/>
        <v>36</v>
      </c>
      <c r="N69" s="8">
        <f t="shared" si="38"/>
        <v>280</v>
      </c>
    </row>
    <row r="70" spans="1:14" ht="14.25" customHeight="1">
      <c r="A70" s="46" t="s">
        <v>152</v>
      </c>
      <c r="B70" s="84">
        <f t="shared" ref="B70:N70" si="46">SUM(B62:B69)</f>
        <v>32</v>
      </c>
      <c r="C70" s="84">
        <f t="shared" si="46"/>
        <v>35</v>
      </c>
      <c r="D70" s="84">
        <f t="shared" si="46"/>
        <v>38</v>
      </c>
      <c r="E70" s="84">
        <f t="shared" si="46"/>
        <v>29</v>
      </c>
      <c r="F70" s="84">
        <f t="shared" si="46"/>
        <v>22</v>
      </c>
      <c r="G70" s="84">
        <f t="shared" si="46"/>
        <v>15</v>
      </c>
      <c r="H70" s="84">
        <f t="shared" si="46"/>
        <v>12</v>
      </c>
      <c r="I70" s="84">
        <f t="shared" si="46"/>
        <v>12</v>
      </c>
      <c r="J70" s="84">
        <f t="shared" si="46"/>
        <v>15</v>
      </c>
      <c r="K70" s="84">
        <f t="shared" si="46"/>
        <v>22</v>
      </c>
      <c r="L70" s="84">
        <f t="shared" si="46"/>
        <v>41</v>
      </c>
      <c r="M70" s="84">
        <f t="shared" si="46"/>
        <v>41</v>
      </c>
      <c r="N70" s="84">
        <f t="shared" si="46"/>
        <v>314</v>
      </c>
    </row>
    <row r="71" spans="1:14" ht="14.25" customHeight="1">
      <c r="A71" s="59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</row>
    <row r="72" spans="1:14" ht="15.6">
      <c r="A72" s="9"/>
      <c r="B72" s="107" t="s">
        <v>95</v>
      </c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3"/>
    </row>
    <row r="73" spans="1:14" ht="14.25" customHeight="1">
      <c r="A73" s="2"/>
      <c r="B73" s="20" t="s">
        <v>39</v>
      </c>
      <c r="C73" s="20" t="s">
        <v>44</v>
      </c>
      <c r="D73" s="20" t="s">
        <v>45</v>
      </c>
      <c r="E73" s="20" t="s">
        <v>46</v>
      </c>
      <c r="F73" s="20" t="s">
        <v>47</v>
      </c>
      <c r="G73" s="20" t="s">
        <v>49</v>
      </c>
      <c r="H73" s="20" t="s">
        <v>50</v>
      </c>
      <c r="I73" s="20" t="s">
        <v>51</v>
      </c>
      <c r="J73" s="20" t="s">
        <v>52</v>
      </c>
      <c r="K73" s="20" t="s">
        <v>53</v>
      </c>
      <c r="L73" s="20" t="s">
        <v>54</v>
      </c>
      <c r="M73" s="20" t="s">
        <v>56</v>
      </c>
      <c r="N73" s="23" t="s">
        <v>57</v>
      </c>
    </row>
    <row r="74" spans="1:14" ht="14.25" hidden="1" customHeight="1">
      <c r="A74" s="4" t="s">
        <v>65</v>
      </c>
      <c r="B74" s="8">
        <f t="shared" ref="B74:M74" si="47">ROUND(C$29*$G49/$D49,0)</f>
        <v>0</v>
      </c>
      <c r="C74" s="8">
        <f t="shared" si="47"/>
        <v>0</v>
      </c>
      <c r="D74" s="8">
        <f t="shared" si="47"/>
        <v>0</v>
      </c>
      <c r="E74" s="8">
        <f t="shared" si="47"/>
        <v>0</v>
      </c>
      <c r="F74" s="8">
        <f t="shared" si="47"/>
        <v>0</v>
      </c>
      <c r="G74" s="8">
        <f t="shared" si="47"/>
        <v>0</v>
      </c>
      <c r="H74" s="8">
        <f t="shared" si="47"/>
        <v>0</v>
      </c>
      <c r="I74" s="8">
        <f t="shared" si="47"/>
        <v>0</v>
      </c>
      <c r="J74" s="8">
        <f t="shared" si="47"/>
        <v>0</v>
      </c>
      <c r="K74" s="8">
        <f t="shared" si="47"/>
        <v>0</v>
      </c>
      <c r="L74" s="8">
        <f t="shared" si="47"/>
        <v>0</v>
      </c>
      <c r="M74" s="8">
        <f t="shared" si="47"/>
        <v>0</v>
      </c>
      <c r="N74" s="8">
        <f t="shared" ref="N74:N81" si="48">SUM(B74:M74)</f>
        <v>0</v>
      </c>
    </row>
    <row r="75" spans="1:14" ht="14.25" hidden="1" customHeight="1">
      <c r="A75" s="4" t="s">
        <v>72</v>
      </c>
      <c r="B75" s="8">
        <f t="shared" ref="B75:M75" si="49">ROUND(C$29*$G50/$D50,0)</f>
        <v>0</v>
      </c>
      <c r="C75" s="8">
        <f t="shared" si="49"/>
        <v>0</v>
      </c>
      <c r="D75" s="8">
        <f t="shared" si="49"/>
        <v>0</v>
      </c>
      <c r="E75" s="8">
        <f t="shared" si="49"/>
        <v>0</v>
      </c>
      <c r="F75" s="8">
        <f t="shared" si="49"/>
        <v>0</v>
      </c>
      <c r="G75" s="8">
        <f t="shared" si="49"/>
        <v>0</v>
      </c>
      <c r="H75" s="8">
        <f t="shared" si="49"/>
        <v>0</v>
      </c>
      <c r="I75" s="8">
        <f t="shared" si="49"/>
        <v>0</v>
      </c>
      <c r="J75" s="8">
        <f t="shared" si="49"/>
        <v>0</v>
      </c>
      <c r="K75" s="8">
        <f t="shared" si="49"/>
        <v>0</v>
      </c>
      <c r="L75" s="8">
        <f t="shared" si="49"/>
        <v>0</v>
      </c>
      <c r="M75" s="8">
        <f t="shared" si="49"/>
        <v>0</v>
      </c>
      <c r="N75" s="8">
        <f t="shared" si="48"/>
        <v>0</v>
      </c>
    </row>
    <row r="76" spans="1:14" ht="14.25" customHeight="1">
      <c r="A76" s="4" t="s">
        <v>74</v>
      </c>
      <c r="B76" s="8">
        <f t="shared" ref="B76:M76" si="50">ROUND(C$29*$G51/$D51,0)</f>
        <v>1</v>
      </c>
      <c r="C76" s="8">
        <f t="shared" si="50"/>
        <v>1</v>
      </c>
      <c r="D76" s="8">
        <f t="shared" si="50"/>
        <v>1</v>
      </c>
      <c r="E76" s="8">
        <f t="shared" si="50"/>
        <v>1</v>
      </c>
      <c r="F76" s="8">
        <f t="shared" si="50"/>
        <v>0</v>
      </c>
      <c r="G76" s="8">
        <f t="shared" si="50"/>
        <v>0</v>
      </c>
      <c r="H76" s="8">
        <f t="shared" si="50"/>
        <v>0</v>
      </c>
      <c r="I76" s="8">
        <f t="shared" si="50"/>
        <v>0</v>
      </c>
      <c r="J76" s="8">
        <f t="shared" si="50"/>
        <v>0</v>
      </c>
      <c r="K76" s="8">
        <f t="shared" si="50"/>
        <v>0</v>
      </c>
      <c r="L76" s="8">
        <f t="shared" si="50"/>
        <v>1</v>
      </c>
      <c r="M76" s="8">
        <f t="shared" si="50"/>
        <v>1</v>
      </c>
      <c r="N76" s="8">
        <f t="shared" si="48"/>
        <v>6</v>
      </c>
    </row>
    <row r="77" spans="1:14" ht="14.25" customHeight="1">
      <c r="A77" s="4" t="s">
        <v>80</v>
      </c>
      <c r="B77" s="8">
        <f t="shared" ref="B77:M77" si="51">ROUND(C$29*$G52/$D52,0)</f>
        <v>1</v>
      </c>
      <c r="C77" s="8">
        <f t="shared" si="51"/>
        <v>1</v>
      </c>
      <c r="D77" s="8">
        <f t="shared" si="51"/>
        <v>1</v>
      </c>
      <c r="E77" s="8">
        <f t="shared" si="51"/>
        <v>1</v>
      </c>
      <c r="F77" s="8">
        <f t="shared" si="51"/>
        <v>1</v>
      </c>
      <c r="G77" s="8">
        <f t="shared" si="51"/>
        <v>1</v>
      </c>
      <c r="H77" s="8">
        <f t="shared" si="51"/>
        <v>0</v>
      </c>
      <c r="I77" s="8">
        <f t="shared" si="51"/>
        <v>0</v>
      </c>
      <c r="J77" s="8">
        <f t="shared" si="51"/>
        <v>1</v>
      </c>
      <c r="K77" s="8">
        <f t="shared" si="51"/>
        <v>1</v>
      </c>
      <c r="L77" s="8">
        <f t="shared" si="51"/>
        <v>1</v>
      </c>
      <c r="M77" s="8">
        <f t="shared" si="51"/>
        <v>1</v>
      </c>
      <c r="N77" s="8">
        <f t="shared" si="48"/>
        <v>10</v>
      </c>
    </row>
    <row r="78" spans="1:14" ht="14.25" customHeight="1">
      <c r="A78" s="4" t="s">
        <v>83</v>
      </c>
      <c r="B78" s="8">
        <f t="shared" ref="B78:M78" si="52">ROUND(C$29*$G53/$D53,0)</f>
        <v>1</v>
      </c>
      <c r="C78" s="8">
        <f t="shared" si="52"/>
        <v>1</v>
      </c>
      <c r="D78" s="8">
        <f t="shared" si="52"/>
        <v>1</v>
      </c>
      <c r="E78" s="8">
        <f t="shared" si="52"/>
        <v>1</v>
      </c>
      <c r="F78" s="8">
        <f t="shared" si="52"/>
        <v>0</v>
      </c>
      <c r="G78" s="8">
        <f t="shared" si="52"/>
        <v>0</v>
      </c>
      <c r="H78" s="8">
        <f t="shared" si="52"/>
        <v>0</v>
      </c>
      <c r="I78" s="8">
        <f t="shared" si="52"/>
        <v>0</v>
      </c>
      <c r="J78" s="8">
        <f t="shared" si="52"/>
        <v>0</v>
      </c>
      <c r="K78" s="8">
        <f t="shared" si="52"/>
        <v>0</v>
      </c>
      <c r="L78" s="8">
        <f t="shared" si="52"/>
        <v>1</v>
      </c>
      <c r="M78" s="8">
        <f t="shared" si="52"/>
        <v>1</v>
      </c>
      <c r="N78" s="8">
        <f t="shared" si="48"/>
        <v>6</v>
      </c>
    </row>
    <row r="79" spans="1:14" ht="14.25" customHeight="1">
      <c r="A79" s="4" t="s">
        <v>86</v>
      </c>
      <c r="B79" s="8">
        <f t="shared" ref="B79:M79" si="53">ROUND(C$29*$G54/$D54,0)</f>
        <v>0</v>
      </c>
      <c r="C79" s="8">
        <f t="shared" si="53"/>
        <v>0</v>
      </c>
      <c r="D79" s="8">
        <f t="shared" si="53"/>
        <v>0</v>
      </c>
      <c r="E79" s="8">
        <f t="shared" si="53"/>
        <v>0</v>
      </c>
      <c r="F79" s="8">
        <f t="shared" si="53"/>
        <v>0</v>
      </c>
      <c r="G79" s="8">
        <f t="shared" si="53"/>
        <v>0</v>
      </c>
      <c r="H79" s="8">
        <f t="shared" si="53"/>
        <v>0</v>
      </c>
      <c r="I79" s="8">
        <f t="shared" si="53"/>
        <v>0</v>
      </c>
      <c r="J79" s="8">
        <f t="shared" si="53"/>
        <v>0</v>
      </c>
      <c r="K79" s="8">
        <f t="shared" si="53"/>
        <v>0</v>
      </c>
      <c r="L79" s="8">
        <f t="shared" si="53"/>
        <v>0</v>
      </c>
      <c r="M79" s="8">
        <f t="shared" si="53"/>
        <v>0</v>
      </c>
      <c r="N79" s="8">
        <f t="shared" si="48"/>
        <v>0</v>
      </c>
    </row>
    <row r="80" spans="1:14" ht="14.25" customHeight="1">
      <c r="A80" s="4" t="s">
        <v>88</v>
      </c>
      <c r="B80" s="8">
        <f t="shared" ref="B80:M80" si="54">ROUND(C$29*$G55/$D55,0)</f>
        <v>3</v>
      </c>
      <c r="C80" s="8">
        <f t="shared" si="54"/>
        <v>3</v>
      </c>
      <c r="D80" s="8">
        <f t="shared" si="54"/>
        <v>3</v>
      </c>
      <c r="E80" s="8">
        <f t="shared" si="54"/>
        <v>3</v>
      </c>
      <c r="F80" s="8">
        <f t="shared" si="54"/>
        <v>2</v>
      </c>
      <c r="G80" s="8">
        <f t="shared" si="54"/>
        <v>1</v>
      </c>
      <c r="H80" s="8">
        <f t="shared" si="54"/>
        <v>1</v>
      </c>
      <c r="I80" s="8">
        <f t="shared" si="54"/>
        <v>1</v>
      </c>
      <c r="J80" s="8">
        <f t="shared" si="54"/>
        <v>1</v>
      </c>
      <c r="K80" s="8">
        <f t="shared" si="54"/>
        <v>2</v>
      </c>
      <c r="L80" s="8">
        <f t="shared" si="54"/>
        <v>3</v>
      </c>
      <c r="M80" s="8">
        <f t="shared" si="54"/>
        <v>3</v>
      </c>
      <c r="N80" s="8">
        <f t="shared" si="48"/>
        <v>26</v>
      </c>
    </row>
    <row r="81" spans="1:14" ht="14.25" customHeight="1">
      <c r="A81" s="4" t="s">
        <v>91</v>
      </c>
      <c r="B81" s="8">
        <f t="shared" ref="B81:M81" si="55">ROUND(C$29*$G56/$D56,0)</f>
        <v>38</v>
      </c>
      <c r="C81" s="8">
        <f t="shared" si="55"/>
        <v>38</v>
      </c>
      <c r="D81" s="8">
        <f t="shared" si="55"/>
        <v>38</v>
      </c>
      <c r="E81" s="8">
        <f t="shared" si="55"/>
        <v>31</v>
      </c>
      <c r="F81" s="8">
        <f t="shared" si="55"/>
        <v>22</v>
      </c>
      <c r="G81" s="8">
        <f t="shared" si="55"/>
        <v>16</v>
      </c>
      <c r="H81" s="8">
        <f t="shared" si="55"/>
        <v>13</v>
      </c>
      <c r="I81" s="8">
        <f t="shared" si="55"/>
        <v>13</v>
      </c>
      <c r="J81" s="8">
        <f t="shared" si="55"/>
        <v>16</v>
      </c>
      <c r="K81" s="8">
        <f t="shared" si="55"/>
        <v>19</v>
      </c>
      <c r="L81" s="8">
        <f t="shared" si="55"/>
        <v>35</v>
      </c>
      <c r="M81" s="8">
        <f t="shared" si="55"/>
        <v>38</v>
      </c>
      <c r="N81" s="8">
        <f t="shared" si="48"/>
        <v>317</v>
      </c>
    </row>
    <row r="82" spans="1:14" ht="14.25" customHeight="1">
      <c r="A82" s="46" t="s">
        <v>152</v>
      </c>
      <c r="B82" s="84">
        <f t="shared" ref="B82:N82" si="56">SUM(B74:B81)</f>
        <v>44</v>
      </c>
      <c r="C82" s="84">
        <f t="shared" si="56"/>
        <v>44</v>
      </c>
      <c r="D82" s="84">
        <f t="shared" si="56"/>
        <v>44</v>
      </c>
      <c r="E82" s="84">
        <f t="shared" si="56"/>
        <v>37</v>
      </c>
      <c r="F82" s="84">
        <f t="shared" si="56"/>
        <v>25</v>
      </c>
      <c r="G82" s="84">
        <f t="shared" si="56"/>
        <v>18</v>
      </c>
      <c r="H82" s="84">
        <f t="shared" si="56"/>
        <v>14</v>
      </c>
      <c r="I82" s="84">
        <f t="shared" si="56"/>
        <v>14</v>
      </c>
      <c r="J82" s="84">
        <f t="shared" si="56"/>
        <v>18</v>
      </c>
      <c r="K82" s="84">
        <f t="shared" si="56"/>
        <v>22</v>
      </c>
      <c r="L82" s="84">
        <f t="shared" si="56"/>
        <v>41</v>
      </c>
      <c r="M82" s="84">
        <f t="shared" si="56"/>
        <v>44</v>
      </c>
      <c r="N82" s="84">
        <f t="shared" si="56"/>
        <v>365</v>
      </c>
    </row>
    <row r="83" spans="1:14" ht="14.25" customHeight="1">
      <c r="A83" s="59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</row>
    <row r="84" spans="1:14" ht="15.6">
      <c r="A84" s="9"/>
      <c r="B84" s="107" t="s">
        <v>106</v>
      </c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3"/>
    </row>
    <row r="85" spans="1:14" ht="14.25" customHeight="1">
      <c r="A85" s="2"/>
      <c r="B85" s="20" t="s">
        <v>39</v>
      </c>
      <c r="C85" s="20" t="s">
        <v>44</v>
      </c>
      <c r="D85" s="20" t="s">
        <v>45</v>
      </c>
      <c r="E85" s="20" t="s">
        <v>46</v>
      </c>
      <c r="F85" s="20" t="s">
        <v>47</v>
      </c>
      <c r="G85" s="20" t="s">
        <v>49</v>
      </c>
      <c r="H85" s="20" t="s">
        <v>50</v>
      </c>
      <c r="I85" s="20" t="s">
        <v>51</v>
      </c>
      <c r="J85" s="20" t="s">
        <v>52</v>
      </c>
      <c r="K85" s="20" t="s">
        <v>53</v>
      </c>
      <c r="L85" s="20" t="s">
        <v>54</v>
      </c>
      <c r="M85" s="20" t="s">
        <v>56</v>
      </c>
      <c r="N85" s="23" t="s">
        <v>57</v>
      </c>
    </row>
    <row r="86" spans="1:14" ht="14.25" hidden="1" customHeight="1">
      <c r="A86" s="4" t="s">
        <v>65</v>
      </c>
      <c r="B86" s="8">
        <f t="shared" ref="B86:M86" si="57">ROUND(C$42*$H49/$E49,0)</f>
        <v>0</v>
      </c>
      <c r="C86" s="8">
        <f t="shared" si="57"/>
        <v>0</v>
      </c>
      <c r="D86" s="8">
        <f t="shared" si="57"/>
        <v>0</v>
      </c>
      <c r="E86" s="8">
        <f t="shared" si="57"/>
        <v>0</v>
      </c>
      <c r="F86" s="8">
        <f t="shared" si="57"/>
        <v>0</v>
      </c>
      <c r="G86" s="8">
        <f t="shared" si="57"/>
        <v>0</v>
      </c>
      <c r="H86" s="8">
        <f t="shared" si="57"/>
        <v>0</v>
      </c>
      <c r="I86" s="8">
        <f t="shared" si="57"/>
        <v>0</v>
      </c>
      <c r="J86" s="8">
        <f t="shared" si="57"/>
        <v>0</v>
      </c>
      <c r="K86" s="8">
        <f t="shared" si="57"/>
        <v>0</v>
      </c>
      <c r="L86" s="8">
        <f t="shared" si="57"/>
        <v>0</v>
      </c>
      <c r="M86" s="8">
        <f t="shared" si="57"/>
        <v>0</v>
      </c>
      <c r="N86" s="8">
        <f t="shared" ref="N86:N93" si="58">SUM(B86:M86)</f>
        <v>0</v>
      </c>
    </row>
    <row r="87" spans="1:14" ht="14.25" hidden="1" customHeight="1">
      <c r="A87" s="4" t="s">
        <v>72</v>
      </c>
      <c r="B87" s="8">
        <f t="shared" ref="B87:M87" si="59">ROUND(C$42*$H50/$E50,0)</f>
        <v>0</v>
      </c>
      <c r="C87" s="8">
        <f t="shared" si="59"/>
        <v>0</v>
      </c>
      <c r="D87" s="8">
        <f t="shared" si="59"/>
        <v>0</v>
      </c>
      <c r="E87" s="8">
        <f t="shared" si="59"/>
        <v>0</v>
      </c>
      <c r="F87" s="8">
        <f t="shared" si="59"/>
        <v>0</v>
      </c>
      <c r="G87" s="8">
        <f t="shared" si="59"/>
        <v>0</v>
      </c>
      <c r="H87" s="8">
        <f t="shared" si="59"/>
        <v>0</v>
      </c>
      <c r="I87" s="8">
        <f t="shared" si="59"/>
        <v>0</v>
      </c>
      <c r="J87" s="8">
        <f t="shared" si="59"/>
        <v>0</v>
      </c>
      <c r="K87" s="8">
        <f t="shared" si="59"/>
        <v>0</v>
      </c>
      <c r="L87" s="8">
        <f t="shared" si="59"/>
        <v>0</v>
      </c>
      <c r="M87" s="8">
        <f t="shared" si="59"/>
        <v>0</v>
      </c>
      <c r="N87" s="8">
        <f t="shared" si="58"/>
        <v>0</v>
      </c>
    </row>
    <row r="88" spans="1:14" ht="14.25" customHeight="1">
      <c r="A88" s="4" t="s">
        <v>74</v>
      </c>
      <c r="B88" s="8">
        <f t="shared" ref="B88:M88" si="60">ROUND(C$42*$H51/$E51,0)</f>
        <v>1</v>
      </c>
      <c r="C88" s="8">
        <f t="shared" si="60"/>
        <v>1</v>
      </c>
      <c r="D88" s="8">
        <f t="shared" si="60"/>
        <v>1</v>
      </c>
      <c r="E88" s="8">
        <f t="shared" si="60"/>
        <v>1</v>
      </c>
      <c r="F88" s="8">
        <f t="shared" si="60"/>
        <v>0</v>
      </c>
      <c r="G88" s="8">
        <f t="shared" si="60"/>
        <v>0</v>
      </c>
      <c r="H88" s="8">
        <f t="shared" si="60"/>
        <v>0</v>
      </c>
      <c r="I88" s="8">
        <f t="shared" si="60"/>
        <v>0</v>
      </c>
      <c r="J88" s="8">
        <f t="shared" si="60"/>
        <v>0</v>
      </c>
      <c r="K88" s="8">
        <f t="shared" si="60"/>
        <v>0</v>
      </c>
      <c r="L88" s="8">
        <f t="shared" si="60"/>
        <v>1</v>
      </c>
      <c r="M88" s="8">
        <f t="shared" si="60"/>
        <v>1</v>
      </c>
      <c r="N88" s="8">
        <f t="shared" si="58"/>
        <v>6</v>
      </c>
    </row>
    <row r="89" spans="1:14" ht="14.25" customHeight="1">
      <c r="A89" s="4" t="s">
        <v>80</v>
      </c>
      <c r="B89" s="8">
        <f t="shared" ref="B89:M89" si="61">ROUND(C$42*$H52/$E52,0)</f>
        <v>1</v>
      </c>
      <c r="C89" s="8">
        <f t="shared" si="61"/>
        <v>1</v>
      </c>
      <c r="D89" s="8">
        <f t="shared" si="61"/>
        <v>1</v>
      </c>
      <c r="E89" s="8">
        <f t="shared" si="61"/>
        <v>1</v>
      </c>
      <c r="F89" s="8">
        <f t="shared" si="61"/>
        <v>1</v>
      </c>
      <c r="G89" s="8">
        <f t="shared" si="61"/>
        <v>1</v>
      </c>
      <c r="H89" s="8">
        <f t="shared" si="61"/>
        <v>0</v>
      </c>
      <c r="I89" s="8">
        <f t="shared" si="61"/>
        <v>0</v>
      </c>
      <c r="J89" s="8">
        <f t="shared" si="61"/>
        <v>1</v>
      </c>
      <c r="K89" s="8">
        <f t="shared" si="61"/>
        <v>1</v>
      </c>
      <c r="L89" s="8">
        <f t="shared" si="61"/>
        <v>1</v>
      </c>
      <c r="M89" s="8">
        <f t="shared" si="61"/>
        <v>1</v>
      </c>
      <c r="N89" s="8">
        <f t="shared" si="58"/>
        <v>10</v>
      </c>
    </row>
    <row r="90" spans="1:14" ht="14.25" customHeight="1">
      <c r="A90" s="4" t="s">
        <v>83</v>
      </c>
      <c r="B90" s="8">
        <f t="shared" ref="B90:M90" si="62">ROUND(C$42*$H53/$E53,0)</f>
        <v>1</v>
      </c>
      <c r="C90" s="8">
        <f t="shared" si="62"/>
        <v>1</v>
      </c>
      <c r="D90" s="8">
        <f t="shared" si="62"/>
        <v>1</v>
      </c>
      <c r="E90" s="8">
        <f t="shared" si="62"/>
        <v>1</v>
      </c>
      <c r="F90" s="8">
        <f t="shared" si="62"/>
        <v>1</v>
      </c>
      <c r="G90" s="8">
        <f t="shared" si="62"/>
        <v>0</v>
      </c>
      <c r="H90" s="8">
        <f t="shared" si="62"/>
        <v>0</v>
      </c>
      <c r="I90" s="8">
        <f t="shared" si="62"/>
        <v>0</v>
      </c>
      <c r="J90" s="8">
        <f t="shared" si="62"/>
        <v>0</v>
      </c>
      <c r="K90" s="8">
        <f t="shared" si="62"/>
        <v>0</v>
      </c>
      <c r="L90" s="8">
        <f t="shared" si="62"/>
        <v>1</v>
      </c>
      <c r="M90" s="8">
        <f t="shared" si="62"/>
        <v>1</v>
      </c>
      <c r="N90" s="8">
        <f t="shared" si="58"/>
        <v>7</v>
      </c>
    </row>
    <row r="91" spans="1:14" ht="14.25" customHeight="1">
      <c r="A91" s="4" t="s">
        <v>86</v>
      </c>
      <c r="B91" s="8">
        <f t="shared" ref="B91:M91" si="63">ROUND(C$42*$H54/$E54,0)</f>
        <v>0</v>
      </c>
      <c r="C91" s="8">
        <f t="shared" si="63"/>
        <v>0</v>
      </c>
      <c r="D91" s="8">
        <f t="shared" si="63"/>
        <v>0</v>
      </c>
      <c r="E91" s="8">
        <f t="shared" si="63"/>
        <v>0</v>
      </c>
      <c r="F91" s="8">
        <f t="shared" si="63"/>
        <v>0</v>
      </c>
      <c r="G91" s="8">
        <f t="shared" si="63"/>
        <v>0</v>
      </c>
      <c r="H91" s="8">
        <f t="shared" si="63"/>
        <v>0</v>
      </c>
      <c r="I91" s="8">
        <f t="shared" si="63"/>
        <v>0</v>
      </c>
      <c r="J91" s="8">
        <f t="shared" si="63"/>
        <v>0</v>
      </c>
      <c r="K91" s="8">
        <f t="shared" si="63"/>
        <v>0</v>
      </c>
      <c r="L91" s="8">
        <f t="shared" si="63"/>
        <v>0</v>
      </c>
      <c r="M91" s="8">
        <f t="shared" si="63"/>
        <v>0</v>
      </c>
      <c r="N91" s="8">
        <f t="shared" si="58"/>
        <v>0</v>
      </c>
    </row>
    <row r="92" spans="1:14" ht="14.25" customHeight="1">
      <c r="A92" s="4" t="s">
        <v>88</v>
      </c>
      <c r="B92" s="8">
        <f t="shared" ref="B92:M92" si="64">ROUND(C$42*$H55/$E55,0)</f>
        <v>4</v>
      </c>
      <c r="C92" s="8">
        <f t="shared" si="64"/>
        <v>4</v>
      </c>
      <c r="D92" s="8">
        <f t="shared" si="64"/>
        <v>4</v>
      </c>
      <c r="E92" s="8">
        <f t="shared" si="64"/>
        <v>4</v>
      </c>
      <c r="F92" s="8">
        <f t="shared" si="64"/>
        <v>3</v>
      </c>
      <c r="G92" s="8">
        <f t="shared" si="64"/>
        <v>2</v>
      </c>
      <c r="H92" s="8">
        <f t="shared" si="64"/>
        <v>1</v>
      </c>
      <c r="I92" s="8">
        <f t="shared" si="64"/>
        <v>1</v>
      </c>
      <c r="J92" s="8">
        <f t="shared" si="64"/>
        <v>2</v>
      </c>
      <c r="K92" s="8">
        <f t="shared" si="64"/>
        <v>2</v>
      </c>
      <c r="L92" s="8">
        <f t="shared" si="64"/>
        <v>4</v>
      </c>
      <c r="M92" s="8">
        <f t="shared" si="64"/>
        <v>4</v>
      </c>
      <c r="N92" s="8">
        <f t="shared" si="58"/>
        <v>35</v>
      </c>
    </row>
    <row r="93" spans="1:14" ht="14.25" customHeight="1">
      <c r="A93" s="4" t="s">
        <v>91</v>
      </c>
      <c r="B93" s="8">
        <f t="shared" ref="B93:M93" si="65">ROUND(C$42*$H56/$E56,0)</f>
        <v>35</v>
      </c>
      <c r="C93" s="8">
        <f t="shared" si="65"/>
        <v>35</v>
      </c>
      <c r="D93" s="8">
        <f t="shared" si="65"/>
        <v>35</v>
      </c>
      <c r="E93" s="8">
        <f t="shared" si="65"/>
        <v>29</v>
      </c>
      <c r="F93" s="8">
        <f t="shared" si="65"/>
        <v>20</v>
      </c>
      <c r="G93" s="8">
        <f t="shared" si="65"/>
        <v>15</v>
      </c>
      <c r="H93" s="8">
        <f t="shared" si="65"/>
        <v>12</v>
      </c>
      <c r="I93" s="8">
        <f t="shared" si="65"/>
        <v>12</v>
      </c>
      <c r="J93" s="8">
        <f t="shared" si="65"/>
        <v>15</v>
      </c>
      <c r="K93" s="8">
        <f t="shared" si="65"/>
        <v>17</v>
      </c>
      <c r="L93" s="8">
        <f t="shared" si="65"/>
        <v>32</v>
      </c>
      <c r="M93" s="8">
        <f t="shared" si="65"/>
        <v>35</v>
      </c>
      <c r="N93" s="8">
        <f t="shared" si="58"/>
        <v>292</v>
      </c>
    </row>
    <row r="94" spans="1:14" ht="14.25" customHeight="1">
      <c r="A94" s="46" t="s">
        <v>152</v>
      </c>
      <c r="B94" s="84">
        <f t="shared" ref="B94:N94" si="66">SUM(B86:B93)</f>
        <v>42</v>
      </c>
      <c r="C94" s="84">
        <f t="shared" si="66"/>
        <v>42</v>
      </c>
      <c r="D94" s="84">
        <f t="shared" si="66"/>
        <v>42</v>
      </c>
      <c r="E94" s="84">
        <f t="shared" si="66"/>
        <v>36</v>
      </c>
      <c r="F94" s="84">
        <f t="shared" si="66"/>
        <v>25</v>
      </c>
      <c r="G94" s="84">
        <f t="shared" si="66"/>
        <v>18</v>
      </c>
      <c r="H94" s="84">
        <f t="shared" si="66"/>
        <v>13</v>
      </c>
      <c r="I94" s="84">
        <f t="shared" si="66"/>
        <v>13</v>
      </c>
      <c r="J94" s="84">
        <f t="shared" si="66"/>
        <v>18</v>
      </c>
      <c r="K94" s="84">
        <f t="shared" si="66"/>
        <v>20</v>
      </c>
      <c r="L94" s="84">
        <f t="shared" si="66"/>
        <v>39</v>
      </c>
      <c r="M94" s="84">
        <f t="shared" si="66"/>
        <v>42</v>
      </c>
      <c r="N94" s="84">
        <f t="shared" si="66"/>
        <v>350</v>
      </c>
    </row>
    <row r="95" spans="1:14" ht="14.25" customHeight="1"/>
    <row r="96" spans="1:14" ht="14.25" customHeight="1"/>
    <row r="97" spans="1:14" ht="15.6">
      <c r="A97" s="9" t="s">
        <v>160</v>
      </c>
    </row>
    <row r="98" spans="1:14" ht="15.6">
      <c r="A98" s="9" t="s">
        <v>161</v>
      </c>
    </row>
    <row r="99" spans="1:14" ht="15.6">
      <c r="A99" s="9"/>
    </row>
    <row r="100" spans="1:14" ht="15.6">
      <c r="A100" s="9"/>
      <c r="B100" s="107" t="s">
        <v>31</v>
      </c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3"/>
    </row>
    <row r="101" spans="1:14" ht="14.25" customHeight="1">
      <c r="A101" s="2"/>
      <c r="B101" s="20" t="s">
        <v>39</v>
      </c>
      <c r="C101" s="20" t="s">
        <v>44</v>
      </c>
      <c r="D101" s="20" t="s">
        <v>45</v>
      </c>
      <c r="E101" s="20" t="s">
        <v>46</v>
      </c>
      <c r="F101" s="20" t="s">
        <v>47</v>
      </c>
      <c r="G101" s="20" t="s">
        <v>49</v>
      </c>
      <c r="H101" s="20" t="s">
        <v>50</v>
      </c>
      <c r="I101" s="20" t="s">
        <v>51</v>
      </c>
      <c r="J101" s="20" t="s">
        <v>52</v>
      </c>
      <c r="K101" s="20" t="s">
        <v>53</v>
      </c>
      <c r="L101" s="20" t="s">
        <v>54</v>
      </c>
      <c r="M101" s="20" t="s">
        <v>56</v>
      </c>
      <c r="N101" s="23" t="s">
        <v>57</v>
      </c>
    </row>
    <row r="102" spans="1:14" ht="14.25" customHeight="1">
      <c r="A102" s="4" t="s">
        <v>74</v>
      </c>
      <c r="B102" s="8">
        <f t="shared" ref="B102:N102" si="67">B64*6</f>
        <v>6</v>
      </c>
      <c r="C102" s="8">
        <f t="shared" si="67"/>
        <v>6</v>
      </c>
      <c r="D102" s="8">
        <f t="shared" si="67"/>
        <v>6</v>
      </c>
      <c r="E102" s="8">
        <f t="shared" si="67"/>
        <v>6</v>
      </c>
      <c r="F102" s="8">
        <f t="shared" si="67"/>
        <v>0</v>
      </c>
      <c r="G102" s="8">
        <f t="shared" si="67"/>
        <v>0</v>
      </c>
      <c r="H102" s="8">
        <f t="shared" si="67"/>
        <v>0</v>
      </c>
      <c r="I102" s="8">
        <f t="shared" si="67"/>
        <v>0</v>
      </c>
      <c r="J102" s="8">
        <f t="shared" si="67"/>
        <v>0</v>
      </c>
      <c r="K102" s="8">
        <f t="shared" si="67"/>
        <v>0</v>
      </c>
      <c r="L102" s="8">
        <f t="shared" si="67"/>
        <v>6</v>
      </c>
      <c r="M102" s="8">
        <f t="shared" si="67"/>
        <v>6</v>
      </c>
      <c r="N102" s="8">
        <f t="shared" si="67"/>
        <v>36</v>
      </c>
    </row>
    <row r="103" spans="1:14" ht="14.25" customHeight="1">
      <c r="A103" s="4" t="s">
        <v>80</v>
      </c>
      <c r="B103" s="8">
        <f t="shared" ref="B103:N103" si="68">B65*6</f>
        <v>6</v>
      </c>
      <c r="C103" s="8">
        <f t="shared" si="68"/>
        <v>6</v>
      </c>
      <c r="D103" s="8">
        <f t="shared" si="68"/>
        <v>6</v>
      </c>
      <c r="E103" s="8">
        <f t="shared" si="68"/>
        <v>6</v>
      </c>
      <c r="F103" s="8">
        <f t="shared" si="68"/>
        <v>6</v>
      </c>
      <c r="G103" s="8">
        <f t="shared" si="68"/>
        <v>0</v>
      </c>
      <c r="H103" s="8">
        <f t="shared" si="68"/>
        <v>0</v>
      </c>
      <c r="I103" s="8">
        <f t="shared" si="68"/>
        <v>0</v>
      </c>
      <c r="J103" s="8">
        <f t="shared" si="68"/>
        <v>0</v>
      </c>
      <c r="K103" s="8">
        <f t="shared" si="68"/>
        <v>6</v>
      </c>
      <c r="L103" s="8">
        <f t="shared" si="68"/>
        <v>6</v>
      </c>
      <c r="M103" s="8">
        <f t="shared" si="68"/>
        <v>6</v>
      </c>
      <c r="N103" s="8">
        <f t="shared" si="68"/>
        <v>48</v>
      </c>
    </row>
    <row r="104" spans="1:14" ht="14.25" customHeight="1">
      <c r="A104" s="4" t="s">
        <v>83</v>
      </c>
      <c r="B104" s="8">
        <f t="shared" ref="B104:N104" si="69">B66*13</f>
        <v>0</v>
      </c>
      <c r="C104" s="8">
        <f t="shared" si="69"/>
        <v>0</v>
      </c>
      <c r="D104" s="8">
        <f t="shared" si="69"/>
        <v>0</v>
      </c>
      <c r="E104" s="8">
        <f t="shared" si="69"/>
        <v>0</v>
      </c>
      <c r="F104" s="8">
        <f t="shared" si="69"/>
        <v>0</v>
      </c>
      <c r="G104" s="8">
        <f t="shared" si="69"/>
        <v>0</v>
      </c>
      <c r="H104" s="8">
        <f t="shared" si="69"/>
        <v>0</v>
      </c>
      <c r="I104" s="8">
        <f t="shared" si="69"/>
        <v>0</v>
      </c>
      <c r="J104" s="8">
        <f t="shared" si="69"/>
        <v>0</v>
      </c>
      <c r="K104" s="8">
        <f t="shared" si="69"/>
        <v>0</v>
      </c>
      <c r="L104" s="8">
        <f t="shared" si="69"/>
        <v>0</v>
      </c>
      <c r="M104" s="8">
        <f t="shared" si="69"/>
        <v>0</v>
      </c>
      <c r="N104" s="8">
        <f t="shared" si="69"/>
        <v>0</v>
      </c>
    </row>
    <row r="105" spans="1:14" ht="14.25" customHeight="1">
      <c r="A105" s="4" t="s">
        <v>86</v>
      </c>
      <c r="B105" s="8">
        <f t="shared" ref="B105:N105" si="70">B67*27</f>
        <v>0</v>
      </c>
      <c r="C105" s="8">
        <f t="shared" si="70"/>
        <v>0</v>
      </c>
      <c r="D105" s="8">
        <f t="shared" si="70"/>
        <v>0</v>
      </c>
      <c r="E105" s="8">
        <f t="shared" si="70"/>
        <v>0</v>
      </c>
      <c r="F105" s="8">
        <f t="shared" si="70"/>
        <v>0</v>
      </c>
      <c r="G105" s="8">
        <f t="shared" si="70"/>
        <v>0</v>
      </c>
      <c r="H105" s="8">
        <f t="shared" si="70"/>
        <v>0</v>
      </c>
      <c r="I105" s="8">
        <f t="shared" si="70"/>
        <v>0</v>
      </c>
      <c r="J105" s="8">
        <f t="shared" si="70"/>
        <v>0</v>
      </c>
      <c r="K105" s="8">
        <f t="shared" si="70"/>
        <v>0</v>
      </c>
      <c r="L105" s="8">
        <f t="shared" si="70"/>
        <v>0</v>
      </c>
      <c r="M105" s="8">
        <f t="shared" si="70"/>
        <v>0</v>
      </c>
      <c r="N105" s="8">
        <f t="shared" si="70"/>
        <v>0</v>
      </c>
    </row>
    <row r="106" spans="1:14" ht="14.25" customHeight="1">
      <c r="A106" s="4" t="s">
        <v>88</v>
      </c>
      <c r="B106" s="8">
        <f t="shared" ref="B106:N106" si="71">B68</f>
        <v>2</v>
      </c>
      <c r="C106" s="8">
        <f t="shared" si="71"/>
        <v>2</v>
      </c>
      <c r="D106" s="8">
        <f t="shared" si="71"/>
        <v>2</v>
      </c>
      <c r="E106" s="8">
        <f t="shared" si="71"/>
        <v>2</v>
      </c>
      <c r="F106" s="8">
        <f t="shared" si="71"/>
        <v>1</v>
      </c>
      <c r="G106" s="8">
        <f t="shared" si="71"/>
        <v>1</v>
      </c>
      <c r="H106" s="8">
        <f t="shared" si="71"/>
        <v>1</v>
      </c>
      <c r="I106" s="8">
        <f t="shared" si="71"/>
        <v>1</v>
      </c>
      <c r="J106" s="8">
        <f t="shared" si="71"/>
        <v>1</v>
      </c>
      <c r="K106" s="8">
        <f t="shared" si="71"/>
        <v>1</v>
      </c>
      <c r="L106" s="8">
        <f t="shared" si="71"/>
        <v>3</v>
      </c>
      <c r="M106" s="8">
        <f t="shared" si="71"/>
        <v>3</v>
      </c>
      <c r="N106" s="8">
        <f t="shared" si="71"/>
        <v>20</v>
      </c>
    </row>
    <row r="107" spans="1:14" ht="14.25" customHeight="1">
      <c r="A107" s="46" t="s">
        <v>152</v>
      </c>
      <c r="B107" s="84">
        <f t="shared" ref="B107:N107" si="72">SUM(B102:B106)</f>
        <v>14</v>
      </c>
      <c r="C107" s="84">
        <f t="shared" si="72"/>
        <v>14</v>
      </c>
      <c r="D107" s="84">
        <f t="shared" si="72"/>
        <v>14</v>
      </c>
      <c r="E107" s="84">
        <f t="shared" si="72"/>
        <v>14</v>
      </c>
      <c r="F107" s="84">
        <f t="shared" si="72"/>
        <v>7</v>
      </c>
      <c r="G107" s="84">
        <f t="shared" si="72"/>
        <v>1</v>
      </c>
      <c r="H107" s="84">
        <f t="shared" si="72"/>
        <v>1</v>
      </c>
      <c r="I107" s="84">
        <f t="shared" si="72"/>
        <v>1</v>
      </c>
      <c r="J107" s="84">
        <f t="shared" si="72"/>
        <v>1</v>
      </c>
      <c r="K107" s="84">
        <f t="shared" si="72"/>
        <v>7</v>
      </c>
      <c r="L107" s="84">
        <f t="shared" si="72"/>
        <v>15</v>
      </c>
      <c r="M107" s="84">
        <f t="shared" si="72"/>
        <v>15</v>
      </c>
      <c r="N107" s="84">
        <f t="shared" si="72"/>
        <v>104</v>
      </c>
    </row>
    <row r="108" spans="1:14" ht="14.25" customHeight="1"/>
    <row r="109" spans="1:14" ht="15.6">
      <c r="A109" s="9"/>
      <c r="B109" s="107" t="s">
        <v>31</v>
      </c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3"/>
    </row>
    <row r="110" spans="1:14" ht="14.25" customHeight="1">
      <c r="A110" s="2"/>
      <c r="B110" s="20" t="s">
        <v>39</v>
      </c>
      <c r="C110" s="20" t="s">
        <v>44</v>
      </c>
      <c r="D110" s="20" t="s">
        <v>45</v>
      </c>
      <c r="E110" s="20" t="s">
        <v>46</v>
      </c>
      <c r="F110" s="20" t="s">
        <v>47</v>
      </c>
      <c r="G110" s="20" t="s">
        <v>49</v>
      </c>
      <c r="H110" s="20" t="s">
        <v>50</v>
      </c>
      <c r="I110" s="20" t="s">
        <v>51</v>
      </c>
      <c r="J110" s="20" t="s">
        <v>52</v>
      </c>
      <c r="K110" s="20" t="s">
        <v>53</v>
      </c>
      <c r="L110" s="20" t="s">
        <v>54</v>
      </c>
      <c r="M110" s="20" t="s">
        <v>56</v>
      </c>
      <c r="N110" s="23" t="s">
        <v>57</v>
      </c>
    </row>
    <row r="111" spans="1:14" ht="14.25" customHeight="1">
      <c r="A111" s="4" t="s">
        <v>74</v>
      </c>
      <c r="B111" s="8">
        <f t="shared" ref="B111:N111" si="73">B76*6</f>
        <v>6</v>
      </c>
      <c r="C111" s="8">
        <f t="shared" si="73"/>
        <v>6</v>
      </c>
      <c r="D111" s="8">
        <f t="shared" si="73"/>
        <v>6</v>
      </c>
      <c r="E111" s="8">
        <f t="shared" si="73"/>
        <v>6</v>
      </c>
      <c r="F111" s="8">
        <f t="shared" si="73"/>
        <v>0</v>
      </c>
      <c r="G111" s="8">
        <f t="shared" si="73"/>
        <v>0</v>
      </c>
      <c r="H111" s="8">
        <f t="shared" si="73"/>
        <v>0</v>
      </c>
      <c r="I111" s="8">
        <f t="shared" si="73"/>
        <v>0</v>
      </c>
      <c r="J111" s="8">
        <f t="shared" si="73"/>
        <v>0</v>
      </c>
      <c r="K111" s="8">
        <f t="shared" si="73"/>
        <v>0</v>
      </c>
      <c r="L111" s="8">
        <f t="shared" si="73"/>
        <v>6</v>
      </c>
      <c r="M111" s="8">
        <f t="shared" si="73"/>
        <v>6</v>
      </c>
      <c r="N111" s="8">
        <f t="shared" si="73"/>
        <v>36</v>
      </c>
    </row>
    <row r="112" spans="1:14" ht="14.25" customHeight="1">
      <c r="A112" s="4" t="s">
        <v>80</v>
      </c>
      <c r="B112" s="8">
        <f t="shared" ref="B112:N112" si="74">B77*6</f>
        <v>6</v>
      </c>
      <c r="C112" s="8">
        <f t="shared" si="74"/>
        <v>6</v>
      </c>
      <c r="D112" s="8">
        <f t="shared" si="74"/>
        <v>6</v>
      </c>
      <c r="E112" s="8">
        <f t="shared" si="74"/>
        <v>6</v>
      </c>
      <c r="F112" s="8">
        <f t="shared" si="74"/>
        <v>6</v>
      </c>
      <c r="G112" s="8">
        <f t="shared" si="74"/>
        <v>6</v>
      </c>
      <c r="H112" s="8">
        <f t="shared" si="74"/>
        <v>0</v>
      </c>
      <c r="I112" s="8">
        <f t="shared" si="74"/>
        <v>0</v>
      </c>
      <c r="J112" s="8">
        <f t="shared" si="74"/>
        <v>6</v>
      </c>
      <c r="K112" s="8">
        <f t="shared" si="74"/>
        <v>6</v>
      </c>
      <c r="L112" s="8">
        <f t="shared" si="74"/>
        <v>6</v>
      </c>
      <c r="M112" s="8">
        <f t="shared" si="74"/>
        <v>6</v>
      </c>
      <c r="N112" s="8">
        <f t="shared" si="74"/>
        <v>60</v>
      </c>
    </row>
    <row r="113" spans="1:14" ht="14.25" customHeight="1">
      <c r="A113" s="4" t="s">
        <v>83</v>
      </c>
      <c r="B113" s="8">
        <f t="shared" ref="B113:N113" si="75">B78*13</f>
        <v>13</v>
      </c>
      <c r="C113" s="8">
        <f t="shared" si="75"/>
        <v>13</v>
      </c>
      <c r="D113" s="8">
        <f t="shared" si="75"/>
        <v>13</v>
      </c>
      <c r="E113" s="8">
        <f t="shared" si="75"/>
        <v>13</v>
      </c>
      <c r="F113" s="8">
        <f t="shared" si="75"/>
        <v>0</v>
      </c>
      <c r="G113" s="8">
        <f t="shared" si="75"/>
        <v>0</v>
      </c>
      <c r="H113" s="8">
        <f t="shared" si="75"/>
        <v>0</v>
      </c>
      <c r="I113" s="8">
        <f t="shared" si="75"/>
        <v>0</v>
      </c>
      <c r="J113" s="8">
        <f t="shared" si="75"/>
        <v>0</v>
      </c>
      <c r="K113" s="8">
        <f t="shared" si="75"/>
        <v>0</v>
      </c>
      <c r="L113" s="8">
        <f t="shared" si="75"/>
        <v>13</v>
      </c>
      <c r="M113" s="8">
        <f t="shared" si="75"/>
        <v>13</v>
      </c>
      <c r="N113" s="8">
        <f t="shared" si="75"/>
        <v>78</v>
      </c>
    </row>
    <row r="114" spans="1:14" ht="14.25" customHeight="1">
      <c r="A114" s="4" t="s">
        <v>86</v>
      </c>
      <c r="B114" s="8">
        <f t="shared" ref="B114:N114" si="76">B79*27</f>
        <v>0</v>
      </c>
      <c r="C114" s="8">
        <f t="shared" si="76"/>
        <v>0</v>
      </c>
      <c r="D114" s="8">
        <f t="shared" si="76"/>
        <v>0</v>
      </c>
      <c r="E114" s="8">
        <f t="shared" si="76"/>
        <v>0</v>
      </c>
      <c r="F114" s="8">
        <f t="shared" si="76"/>
        <v>0</v>
      </c>
      <c r="G114" s="8">
        <f t="shared" si="76"/>
        <v>0</v>
      </c>
      <c r="H114" s="8">
        <f t="shared" si="76"/>
        <v>0</v>
      </c>
      <c r="I114" s="8">
        <f t="shared" si="76"/>
        <v>0</v>
      </c>
      <c r="J114" s="8">
        <f t="shared" si="76"/>
        <v>0</v>
      </c>
      <c r="K114" s="8">
        <f t="shared" si="76"/>
        <v>0</v>
      </c>
      <c r="L114" s="8">
        <f t="shared" si="76"/>
        <v>0</v>
      </c>
      <c r="M114" s="8">
        <f t="shared" si="76"/>
        <v>0</v>
      </c>
      <c r="N114" s="8">
        <f t="shared" si="76"/>
        <v>0</v>
      </c>
    </row>
    <row r="115" spans="1:14" ht="14.25" customHeight="1">
      <c r="A115" s="4" t="s">
        <v>88</v>
      </c>
      <c r="B115" s="8">
        <f t="shared" ref="B115:N115" si="77">B80</f>
        <v>3</v>
      </c>
      <c r="C115" s="8">
        <f t="shared" si="77"/>
        <v>3</v>
      </c>
      <c r="D115" s="8">
        <f t="shared" si="77"/>
        <v>3</v>
      </c>
      <c r="E115" s="8">
        <f t="shared" si="77"/>
        <v>3</v>
      </c>
      <c r="F115" s="8">
        <f t="shared" si="77"/>
        <v>2</v>
      </c>
      <c r="G115" s="8">
        <f t="shared" si="77"/>
        <v>1</v>
      </c>
      <c r="H115" s="8">
        <f t="shared" si="77"/>
        <v>1</v>
      </c>
      <c r="I115" s="8">
        <f t="shared" si="77"/>
        <v>1</v>
      </c>
      <c r="J115" s="8">
        <f t="shared" si="77"/>
        <v>1</v>
      </c>
      <c r="K115" s="8">
        <f t="shared" si="77"/>
        <v>2</v>
      </c>
      <c r="L115" s="8">
        <f t="shared" si="77"/>
        <v>3</v>
      </c>
      <c r="M115" s="8">
        <f t="shared" si="77"/>
        <v>3</v>
      </c>
      <c r="N115" s="8">
        <f t="shared" si="77"/>
        <v>26</v>
      </c>
    </row>
    <row r="116" spans="1:14" ht="14.25" customHeight="1">
      <c r="A116" s="46" t="s">
        <v>152</v>
      </c>
      <c r="B116" s="84">
        <f t="shared" ref="B116:N116" si="78">SUM(B111:B115)</f>
        <v>28</v>
      </c>
      <c r="C116" s="84">
        <f t="shared" si="78"/>
        <v>28</v>
      </c>
      <c r="D116" s="84">
        <f t="shared" si="78"/>
        <v>28</v>
      </c>
      <c r="E116" s="84">
        <f t="shared" si="78"/>
        <v>28</v>
      </c>
      <c r="F116" s="84">
        <f t="shared" si="78"/>
        <v>8</v>
      </c>
      <c r="G116" s="84">
        <f t="shared" si="78"/>
        <v>7</v>
      </c>
      <c r="H116" s="84">
        <f t="shared" si="78"/>
        <v>1</v>
      </c>
      <c r="I116" s="84">
        <f t="shared" si="78"/>
        <v>1</v>
      </c>
      <c r="J116" s="84">
        <f t="shared" si="78"/>
        <v>7</v>
      </c>
      <c r="K116" s="84">
        <f t="shared" si="78"/>
        <v>8</v>
      </c>
      <c r="L116" s="84">
        <f t="shared" si="78"/>
        <v>28</v>
      </c>
      <c r="M116" s="84">
        <f t="shared" si="78"/>
        <v>28</v>
      </c>
      <c r="N116" s="84">
        <f t="shared" si="78"/>
        <v>200</v>
      </c>
    </row>
    <row r="117" spans="1:14" ht="14.25" customHeight="1"/>
    <row r="118" spans="1:14" ht="15.6">
      <c r="A118" s="9"/>
      <c r="B118" s="107" t="s">
        <v>31</v>
      </c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3"/>
    </row>
    <row r="119" spans="1:14" ht="14.25" customHeight="1">
      <c r="A119" s="2"/>
      <c r="B119" s="20" t="s">
        <v>39</v>
      </c>
      <c r="C119" s="20" t="s">
        <v>44</v>
      </c>
      <c r="D119" s="20" t="s">
        <v>45</v>
      </c>
      <c r="E119" s="20" t="s">
        <v>46</v>
      </c>
      <c r="F119" s="20" t="s">
        <v>47</v>
      </c>
      <c r="G119" s="20" t="s">
        <v>49</v>
      </c>
      <c r="H119" s="20" t="s">
        <v>50</v>
      </c>
      <c r="I119" s="20" t="s">
        <v>51</v>
      </c>
      <c r="J119" s="20" t="s">
        <v>52</v>
      </c>
      <c r="K119" s="20" t="s">
        <v>53</v>
      </c>
      <c r="L119" s="20" t="s">
        <v>54</v>
      </c>
      <c r="M119" s="20" t="s">
        <v>56</v>
      </c>
      <c r="N119" s="23" t="s">
        <v>57</v>
      </c>
    </row>
    <row r="120" spans="1:14" ht="14.25" customHeight="1">
      <c r="A120" s="4" t="s">
        <v>74</v>
      </c>
      <c r="B120" s="8">
        <f t="shared" ref="B120:N120" si="79">B88*6</f>
        <v>6</v>
      </c>
      <c r="C120" s="8">
        <f t="shared" si="79"/>
        <v>6</v>
      </c>
      <c r="D120" s="8">
        <f t="shared" si="79"/>
        <v>6</v>
      </c>
      <c r="E120" s="8">
        <f t="shared" si="79"/>
        <v>6</v>
      </c>
      <c r="F120" s="8">
        <f t="shared" si="79"/>
        <v>0</v>
      </c>
      <c r="G120" s="8">
        <f t="shared" si="79"/>
        <v>0</v>
      </c>
      <c r="H120" s="8">
        <f t="shared" si="79"/>
        <v>0</v>
      </c>
      <c r="I120" s="8">
        <f t="shared" si="79"/>
        <v>0</v>
      </c>
      <c r="J120" s="8">
        <f t="shared" si="79"/>
        <v>0</v>
      </c>
      <c r="K120" s="8">
        <f t="shared" si="79"/>
        <v>0</v>
      </c>
      <c r="L120" s="8">
        <f t="shared" si="79"/>
        <v>6</v>
      </c>
      <c r="M120" s="8">
        <f t="shared" si="79"/>
        <v>6</v>
      </c>
      <c r="N120" s="8">
        <f t="shared" si="79"/>
        <v>36</v>
      </c>
    </row>
    <row r="121" spans="1:14" ht="14.25" customHeight="1">
      <c r="A121" s="4" t="s">
        <v>80</v>
      </c>
      <c r="B121" s="8">
        <f t="shared" ref="B121:N121" si="80">B89*6</f>
        <v>6</v>
      </c>
      <c r="C121" s="8">
        <f t="shared" si="80"/>
        <v>6</v>
      </c>
      <c r="D121" s="8">
        <f t="shared" si="80"/>
        <v>6</v>
      </c>
      <c r="E121" s="8">
        <f t="shared" si="80"/>
        <v>6</v>
      </c>
      <c r="F121" s="8">
        <f t="shared" si="80"/>
        <v>6</v>
      </c>
      <c r="G121" s="8">
        <f t="shared" si="80"/>
        <v>6</v>
      </c>
      <c r="H121" s="8">
        <f t="shared" si="80"/>
        <v>0</v>
      </c>
      <c r="I121" s="8">
        <f t="shared" si="80"/>
        <v>0</v>
      </c>
      <c r="J121" s="8">
        <f t="shared" si="80"/>
        <v>6</v>
      </c>
      <c r="K121" s="8">
        <f t="shared" si="80"/>
        <v>6</v>
      </c>
      <c r="L121" s="8">
        <f t="shared" si="80"/>
        <v>6</v>
      </c>
      <c r="M121" s="8">
        <f t="shared" si="80"/>
        <v>6</v>
      </c>
      <c r="N121" s="8">
        <f t="shared" si="80"/>
        <v>60</v>
      </c>
    </row>
    <row r="122" spans="1:14" ht="14.25" customHeight="1">
      <c r="A122" s="4" t="s">
        <v>83</v>
      </c>
      <c r="B122" s="8">
        <f t="shared" ref="B122:N122" si="81">B90*13</f>
        <v>13</v>
      </c>
      <c r="C122" s="8">
        <f t="shared" si="81"/>
        <v>13</v>
      </c>
      <c r="D122" s="8">
        <f t="shared" si="81"/>
        <v>13</v>
      </c>
      <c r="E122" s="8">
        <f t="shared" si="81"/>
        <v>13</v>
      </c>
      <c r="F122" s="8">
        <f t="shared" si="81"/>
        <v>13</v>
      </c>
      <c r="G122" s="8">
        <f t="shared" si="81"/>
        <v>0</v>
      </c>
      <c r="H122" s="8">
        <f t="shared" si="81"/>
        <v>0</v>
      </c>
      <c r="I122" s="8">
        <f t="shared" si="81"/>
        <v>0</v>
      </c>
      <c r="J122" s="8">
        <f t="shared" si="81"/>
        <v>0</v>
      </c>
      <c r="K122" s="8">
        <f t="shared" si="81"/>
        <v>0</v>
      </c>
      <c r="L122" s="8">
        <f t="shared" si="81"/>
        <v>13</v>
      </c>
      <c r="M122" s="8">
        <f t="shared" si="81"/>
        <v>13</v>
      </c>
      <c r="N122" s="8">
        <f t="shared" si="81"/>
        <v>91</v>
      </c>
    </row>
    <row r="123" spans="1:14" ht="14.25" customHeight="1">
      <c r="A123" s="4" t="s">
        <v>86</v>
      </c>
      <c r="B123" s="8">
        <f t="shared" ref="B123:N123" si="82">B91*27</f>
        <v>0</v>
      </c>
      <c r="C123" s="8">
        <f t="shared" si="82"/>
        <v>0</v>
      </c>
      <c r="D123" s="8">
        <f t="shared" si="82"/>
        <v>0</v>
      </c>
      <c r="E123" s="8">
        <f t="shared" si="82"/>
        <v>0</v>
      </c>
      <c r="F123" s="8">
        <f t="shared" si="82"/>
        <v>0</v>
      </c>
      <c r="G123" s="8">
        <f t="shared" si="82"/>
        <v>0</v>
      </c>
      <c r="H123" s="8">
        <f t="shared" si="82"/>
        <v>0</v>
      </c>
      <c r="I123" s="8">
        <f t="shared" si="82"/>
        <v>0</v>
      </c>
      <c r="J123" s="8">
        <f t="shared" si="82"/>
        <v>0</v>
      </c>
      <c r="K123" s="8">
        <f t="shared" si="82"/>
        <v>0</v>
      </c>
      <c r="L123" s="8">
        <f t="shared" si="82"/>
        <v>0</v>
      </c>
      <c r="M123" s="8">
        <f t="shared" si="82"/>
        <v>0</v>
      </c>
      <c r="N123" s="8">
        <f t="shared" si="82"/>
        <v>0</v>
      </c>
    </row>
    <row r="124" spans="1:14" ht="14.25" customHeight="1">
      <c r="A124" s="4" t="s">
        <v>88</v>
      </c>
      <c r="B124" s="8">
        <f t="shared" ref="B124:N124" si="83">B92</f>
        <v>4</v>
      </c>
      <c r="C124" s="8">
        <f t="shared" si="83"/>
        <v>4</v>
      </c>
      <c r="D124" s="8">
        <f t="shared" si="83"/>
        <v>4</v>
      </c>
      <c r="E124" s="8">
        <f t="shared" si="83"/>
        <v>4</v>
      </c>
      <c r="F124" s="8">
        <f t="shared" si="83"/>
        <v>3</v>
      </c>
      <c r="G124" s="8">
        <f t="shared" si="83"/>
        <v>2</v>
      </c>
      <c r="H124" s="8">
        <f t="shared" si="83"/>
        <v>1</v>
      </c>
      <c r="I124" s="8">
        <f t="shared" si="83"/>
        <v>1</v>
      </c>
      <c r="J124" s="8">
        <f t="shared" si="83"/>
        <v>2</v>
      </c>
      <c r="K124" s="8">
        <f t="shared" si="83"/>
        <v>2</v>
      </c>
      <c r="L124" s="8">
        <f t="shared" si="83"/>
        <v>4</v>
      </c>
      <c r="M124" s="8">
        <f t="shared" si="83"/>
        <v>4</v>
      </c>
      <c r="N124" s="8">
        <f t="shared" si="83"/>
        <v>35</v>
      </c>
    </row>
    <row r="125" spans="1:14" ht="14.25" customHeight="1">
      <c r="A125" s="46" t="s">
        <v>152</v>
      </c>
      <c r="B125" s="84">
        <f t="shared" ref="B125:N125" si="84">SUM(B120:B124)</f>
        <v>29</v>
      </c>
      <c r="C125" s="84">
        <f t="shared" si="84"/>
        <v>29</v>
      </c>
      <c r="D125" s="84">
        <f t="shared" si="84"/>
        <v>29</v>
      </c>
      <c r="E125" s="84">
        <f t="shared" si="84"/>
        <v>29</v>
      </c>
      <c r="F125" s="84">
        <f t="shared" si="84"/>
        <v>22</v>
      </c>
      <c r="G125" s="84">
        <f t="shared" si="84"/>
        <v>8</v>
      </c>
      <c r="H125" s="84">
        <f t="shared" si="84"/>
        <v>1</v>
      </c>
      <c r="I125" s="84">
        <f t="shared" si="84"/>
        <v>1</v>
      </c>
      <c r="J125" s="84">
        <f t="shared" si="84"/>
        <v>8</v>
      </c>
      <c r="K125" s="84">
        <f t="shared" si="84"/>
        <v>8</v>
      </c>
      <c r="L125" s="84">
        <f t="shared" si="84"/>
        <v>29</v>
      </c>
      <c r="M125" s="84">
        <f t="shared" si="84"/>
        <v>29</v>
      </c>
      <c r="N125" s="84">
        <f t="shared" si="84"/>
        <v>222</v>
      </c>
    </row>
    <row r="126" spans="1:14" ht="14.25" customHeight="1"/>
    <row r="127" spans="1:14" ht="14.25" customHeight="1"/>
    <row r="128" spans="1:14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2">
    <mergeCell ref="A1:K1"/>
    <mergeCell ref="AC3:AD3"/>
    <mergeCell ref="AA3:AB3"/>
    <mergeCell ref="B109:N109"/>
    <mergeCell ref="B118:N118"/>
    <mergeCell ref="B60:N60"/>
    <mergeCell ref="B72:N72"/>
    <mergeCell ref="O45:P45"/>
    <mergeCell ref="Q45:R45"/>
    <mergeCell ref="E45:F45"/>
    <mergeCell ref="G45:H45"/>
    <mergeCell ref="I45:J45"/>
    <mergeCell ref="K45:L45"/>
    <mergeCell ref="M45:N45"/>
    <mergeCell ref="B100:N100"/>
    <mergeCell ref="B84:N84"/>
    <mergeCell ref="AG3:AH3"/>
    <mergeCell ref="B5:O5"/>
    <mergeCell ref="B18:O18"/>
    <mergeCell ref="B31:O31"/>
    <mergeCell ref="Q3:R3"/>
    <mergeCell ref="S3:T3"/>
    <mergeCell ref="U3:V3"/>
    <mergeCell ref="W3:X3"/>
    <mergeCell ref="Y3:Z3"/>
    <mergeCell ref="O3:P3"/>
    <mergeCell ref="M3:N3"/>
    <mergeCell ref="E3:F3"/>
    <mergeCell ref="G3:H3"/>
    <mergeCell ref="I3:J3"/>
    <mergeCell ref="K3:L3"/>
    <mergeCell ref="AE3:AF3"/>
  </mergeCells>
  <pageMargins left="0.7" right="0.7" top="0.75" bottom="0.75" header="0" footer="0"/>
  <pageSetup orientation="landscape"/>
  <headerFooter>
    <oddHeader>&amp;CFinanzplan- Umsatzherleitung</oddHeader>
    <oddFooter>&amp;C&amp;P von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L1000"/>
  <sheetViews>
    <sheetView topLeftCell="A63" workbookViewId="0">
      <selection sqref="A1:K1"/>
    </sheetView>
  </sheetViews>
  <sheetFormatPr baseColWidth="10" defaultColWidth="14.44140625" defaultRowHeight="15" customHeight="1"/>
  <cols>
    <col min="1" max="1" width="28.33203125" customWidth="1"/>
    <col min="2" max="38" width="11.44140625" customWidth="1"/>
    <col min="39" max="69" width="10" customWidth="1"/>
  </cols>
  <sheetData>
    <row r="1" spans="1:18" ht="17.25" hidden="1" customHeight="1">
      <c r="A1" s="108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8" ht="14.25" hidden="1" customHeight="1">
      <c r="A2" s="2"/>
    </row>
    <row r="3" spans="1:18" ht="15.6" hidden="1">
      <c r="A3" s="9" t="s">
        <v>227</v>
      </c>
      <c r="E3" s="104"/>
      <c r="F3" s="105"/>
      <c r="G3" s="104"/>
      <c r="H3" s="105"/>
      <c r="I3" s="104"/>
      <c r="J3" s="105"/>
      <c r="K3" s="104"/>
      <c r="L3" s="105"/>
      <c r="M3" s="104"/>
      <c r="N3" s="105"/>
      <c r="O3" s="104"/>
      <c r="P3" s="105"/>
      <c r="Q3" s="104"/>
      <c r="R3" s="105"/>
    </row>
    <row r="4" spans="1:18" ht="15.6" hidden="1">
      <c r="A4" s="9"/>
      <c r="B4" s="107" t="s">
        <v>31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10"/>
      <c r="Q4" s="10"/>
      <c r="R4" s="10"/>
    </row>
    <row r="5" spans="1:18" ht="14.25" hidden="1" customHeight="1">
      <c r="A5" s="2"/>
      <c r="B5" s="20" t="s">
        <v>35</v>
      </c>
      <c r="C5" s="22" t="s">
        <v>39</v>
      </c>
      <c r="D5" s="20" t="s">
        <v>44</v>
      </c>
      <c r="E5" s="20" t="s">
        <v>45</v>
      </c>
      <c r="F5" s="20" t="s">
        <v>46</v>
      </c>
      <c r="G5" s="20" t="s">
        <v>47</v>
      </c>
      <c r="H5" s="20" t="s">
        <v>49</v>
      </c>
      <c r="I5" s="20" t="s">
        <v>50</v>
      </c>
      <c r="J5" s="20" t="s">
        <v>51</v>
      </c>
      <c r="K5" s="20" t="s">
        <v>52</v>
      </c>
      <c r="L5" s="20" t="s">
        <v>53</v>
      </c>
      <c r="M5" s="20" t="s">
        <v>54</v>
      </c>
      <c r="N5" s="20" t="s">
        <v>56</v>
      </c>
      <c r="O5" s="23" t="s">
        <v>57</v>
      </c>
      <c r="P5" s="38" t="s">
        <v>95</v>
      </c>
      <c r="Q5" s="38" t="s">
        <v>106</v>
      </c>
      <c r="R5" s="27"/>
    </row>
    <row r="6" spans="1:18" ht="14.25" hidden="1" customHeight="1">
      <c r="A6" s="4" t="s">
        <v>229</v>
      </c>
      <c r="B6" s="30">
        <f>Revenues!B7</f>
        <v>0</v>
      </c>
      <c r="C6" s="8">
        <f>Revenues!C7</f>
        <v>0</v>
      </c>
      <c r="D6" s="8">
        <f>Revenues!D7</f>
        <v>0</v>
      </c>
      <c r="E6" s="8">
        <f>Revenues!E7</f>
        <v>0</v>
      </c>
      <c r="F6" s="8">
        <f>Revenues!F7</f>
        <v>0</v>
      </c>
      <c r="G6" s="8">
        <f>Revenues!G7</f>
        <v>0</v>
      </c>
      <c r="H6" s="8">
        <f>Revenues!H7</f>
        <v>0</v>
      </c>
      <c r="I6" s="8">
        <f>Revenues!I7</f>
        <v>0</v>
      </c>
      <c r="J6" s="8">
        <f>Revenues!J7</f>
        <v>0</v>
      </c>
      <c r="K6" s="8">
        <f>Revenues!K7</f>
        <v>0</v>
      </c>
      <c r="L6" s="8">
        <f>Revenues!L7</f>
        <v>0</v>
      </c>
      <c r="M6" s="8">
        <f>Revenues!M7</f>
        <v>0</v>
      </c>
      <c r="N6" s="8">
        <f>Revenues!N7</f>
        <v>0</v>
      </c>
      <c r="O6" s="8">
        <f>Revenues!O7</f>
        <v>0</v>
      </c>
      <c r="P6" s="40">
        <f>Revenues!O20</f>
        <v>0</v>
      </c>
      <c r="Q6" s="40">
        <f>Revenues!O33</f>
        <v>0</v>
      </c>
      <c r="R6" s="35"/>
    </row>
    <row r="7" spans="1:18" ht="14.25" hidden="1" customHeight="1">
      <c r="A7" s="4" t="s">
        <v>230</v>
      </c>
      <c r="B7" s="30">
        <f>Revenues!B8</f>
        <v>0</v>
      </c>
      <c r="C7" s="8">
        <f>Revenues!C8</f>
        <v>0</v>
      </c>
      <c r="D7" s="8">
        <f>Revenues!D8</f>
        <v>0</v>
      </c>
      <c r="E7" s="8">
        <f>Revenues!E8</f>
        <v>0</v>
      </c>
      <c r="F7" s="8">
        <f>Revenues!F8</f>
        <v>0</v>
      </c>
      <c r="G7" s="8">
        <f>Revenues!G8</f>
        <v>0</v>
      </c>
      <c r="H7" s="8">
        <f>Revenues!H8</f>
        <v>0</v>
      </c>
      <c r="I7" s="8">
        <f>Revenues!I8</f>
        <v>0</v>
      </c>
      <c r="J7" s="8">
        <f>Revenues!J8</f>
        <v>0</v>
      </c>
      <c r="K7" s="8">
        <f>Revenues!K8</f>
        <v>0</v>
      </c>
      <c r="L7" s="8">
        <f>Revenues!L8</f>
        <v>0</v>
      </c>
      <c r="M7" s="8">
        <f>Revenues!M8</f>
        <v>0</v>
      </c>
      <c r="N7" s="8">
        <f>Revenues!N8</f>
        <v>0</v>
      </c>
      <c r="O7" s="8">
        <f>Revenues!O8</f>
        <v>0</v>
      </c>
      <c r="P7" s="40">
        <f>Revenues!O21</f>
        <v>0</v>
      </c>
      <c r="Q7" s="40">
        <f>Revenues!O34</f>
        <v>0</v>
      </c>
      <c r="R7" s="35"/>
    </row>
    <row r="8" spans="1:18" ht="14.25" hidden="1" customHeight="1">
      <c r="A8" s="4" t="s">
        <v>233</v>
      </c>
      <c r="B8" s="30">
        <f>Revenues!B9</f>
        <v>0.23169955442393383</v>
      </c>
      <c r="C8" s="8">
        <f>Revenues!C9</f>
        <v>5200</v>
      </c>
      <c r="D8" s="8">
        <f>Revenues!D9</f>
        <v>5200</v>
      </c>
      <c r="E8" s="8">
        <f>Revenues!E9</f>
        <v>5200</v>
      </c>
      <c r="F8" s="8">
        <f>Revenues!F9</f>
        <v>5200</v>
      </c>
      <c r="G8" s="8">
        <f>Revenues!G9</f>
        <v>0</v>
      </c>
      <c r="H8" s="8">
        <f>Revenues!H9</f>
        <v>0</v>
      </c>
      <c r="I8" s="8">
        <f>Revenues!I9</f>
        <v>0</v>
      </c>
      <c r="J8" s="8">
        <f>Revenues!J9</f>
        <v>0</v>
      </c>
      <c r="K8" s="8">
        <f>Revenues!K9</f>
        <v>0</v>
      </c>
      <c r="L8" s="8">
        <f>Revenues!L9</f>
        <v>0</v>
      </c>
      <c r="M8" s="8">
        <f>Revenues!M9</f>
        <v>5200</v>
      </c>
      <c r="N8" s="8">
        <f>Revenues!N9</f>
        <v>5200</v>
      </c>
      <c r="O8" s="8">
        <f>Revenues!O9</f>
        <v>31200</v>
      </c>
      <c r="P8" s="40">
        <f>Revenues!O22</f>
        <v>32760</v>
      </c>
      <c r="Q8" s="40">
        <f>Revenues!O35</f>
        <v>34320.000000000007</v>
      </c>
      <c r="R8" s="35"/>
    </row>
    <row r="9" spans="1:18" ht="14.25" hidden="1" customHeight="1">
      <c r="A9" s="4" t="s">
        <v>236</v>
      </c>
      <c r="B9" s="30">
        <f>Revenues!B10</f>
        <v>0.41290048801188206</v>
      </c>
      <c r="C9" s="8">
        <f>Revenues!C10</f>
        <v>6950</v>
      </c>
      <c r="D9" s="8">
        <f>Revenues!D10</f>
        <v>6950</v>
      </c>
      <c r="E9" s="8">
        <f>Revenues!E10</f>
        <v>6950</v>
      </c>
      <c r="F9" s="8">
        <f>Revenues!F10</f>
        <v>6950</v>
      </c>
      <c r="G9" s="8">
        <f>Revenues!G10</f>
        <v>6950</v>
      </c>
      <c r="H9" s="8">
        <f>Revenues!H10</f>
        <v>0</v>
      </c>
      <c r="I9" s="8">
        <f>Revenues!I10</f>
        <v>0</v>
      </c>
      <c r="J9" s="8">
        <f>Revenues!J10</f>
        <v>0</v>
      </c>
      <c r="K9" s="8">
        <f>Revenues!K10</f>
        <v>0</v>
      </c>
      <c r="L9" s="8">
        <f>Revenues!L10</f>
        <v>6950</v>
      </c>
      <c r="M9" s="8">
        <f>Revenues!M10</f>
        <v>6950</v>
      </c>
      <c r="N9" s="8">
        <f>Revenues!N10</f>
        <v>6950</v>
      </c>
      <c r="O9" s="8">
        <f>Revenues!O10</f>
        <v>55600</v>
      </c>
      <c r="P9" s="40">
        <f>Revenues!O23</f>
        <v>72975</v>
      </c>
      <c r="Q9" s="40">
        <f>Revenues!O36</f>
        <v>76450.000000000015</v>
      </c>
      <c r="R9" s="35"/>
    </row>
    <row r="10" spans="1:18" ht="14.25" hidden="1" customHeight="1">
      <c r="A10" s="4" t="s">
        <v>240</v>
      </c>
      <c r="B10" s="30">
        <f>Revenues!B11</f>
        <v>0</v>
      </c>
      <c r="C10" s="8">
        <f>Revenues!C11</f>
        <v>0</v>
      </c>
      <c r="D10" s="8">
        <f>Revenues!D11</f>
        <v>0</v>
      </c>
      <c r="E10" s="8">
        <f>Revenues!E11</f>
        <v>0</v>
      </c>
      <c r="F10" s="8">
        <f>Revenues!F11</f>
        <v>0</v>
      </c>
      <c r="G10" s="8">
        <f>Revenues!G11</f>
        <v>0</v>
      </c>
      <c r="H10" s="8">
        <f>Revenues!H11</f>
        <v>0</v>
      </c>
      <c r="I10" s="8">
        <f>Revenues!I11</f>
        <v>0</v>
      </c>
      <c r="J10" s="8">
        <f>Revenues!J11</f>
        <v>0</v>
      </c>
      <c r="K10" s="8">
        <f>Revenues!K11</f>
        <v>0</v>
      </c>
      <c r="L10" s="8">
        <f>Revenues!L11</f>
        <v>0</v>
      </c>
      <c r="M10" s="8">
        <f>Revenues!M11</f>
        <v>0</v>
      </c>
      <c r="N10" s="8">
        <f>Revenues!N11</f>
        <v>0</v>
      </c>
      <c r="O10" s="8">
        <f>Revenues!O11</f>
        <v>0</v>
      </c>
      <c r="P10" s="40">
        <f>Revenues!O24</f>
        <v>85302</v>
      </c>
      <c r="Q10" s="40">
        <f>Revenues!O37</f>
        <v>104258.00000000001</v>
      </c>
      <c r="R10" s="35"/>
    </row>
    <row r="11" spans="1:18" ht="14.25" hidden="1" customHeight="1">
      <c r="A11" s="4" t="s">
        <v>242</v>
      </c>
      <c r="B11" s="30">
        <f>Revenues!B12</f>
        <v>0</v>
      </c>
      <c r="C11" s="8">
        <f>Revenues!C12</f>
        <v>0</v>
      </c>
      <c r="D11" s="8">
        <f>Revenues!D12</f>
        <v>0</v>
      </c>
      <c r="E11" s="8">
        <f>Revenues!E12</f>
        <v>0</v>
      </c>
      <c r="F11" s="8">
        <f>Revenues!F12</f>
        <v>0</v>
      </c>
      <c r="G11" s="8">
        <f>Revenues!G12</f>
        <v>0</v>
      </c>
      <c r="H11" s="8">
        <f>Revenues!H12</f>
        <v>0</v>
      </c>
      <c r="I11" s="8">
        <f>Revenues!I12</f>
        <v>0</v>
      </c>
      <c r="J11" s="8">
        <f>Revenues!J12</f>
        <v>0</v>
      </c>
      <c r="K11" s="8">
        <f>Revenues!K12</f>
        <v>0</v>
      </c>
      <c r="L11" s="8">
        <f>Revenues!L12</f>
        <v>0</v>
      </c>
      <c r="M11" s="8">
        <f>Revenues!M12</f>
        <v>0</v>
      </c>
      <c r="N11" s="8">
        <f>Revenues!N12</f>
        <v>0</v>
      </c>
      <c r="O11" s="8">
        <f>Revenues!O12</f>
        <v>0</v>
      </c>
      <c r="P11" s="40">
        <f>Revenues!O25</f>
        <v>0</v>
      </c>
      <c r="Q11" s="40">
        <f>Revenues!O38</f>
        <v>0</v>
      </c>
      <c r="R11" s="35"/>
    </row>
    <row r="12" spans="1:18" ht="14.25" hidden="1" customHeight="1">
      <c r="A12" s="4" t="s">
        <v>245</v>
      </c>
      <c r="B12" s="30">
        <f>Revenues!B13</f>
        <v>0.14746446000424362</v>
      </c>
      <c r="C12" s="8">
        <f>Revenues!C13</f>
        <v>1985.7142857142858</v>
      </c>
      <c r="D12" s="8">
        <f>Revenues!D13</f>
        <v>1985.7142857142858</v>
      </c>
      <c r="E12" s="8">
        <f>Revenues!E13</f>
        <v>1985.7142857142858</v>
      </c>
      <c r="F12" s="8">
        <f>Revenues!F13</f>
        <v>1985.7142857142858</v>
      </c>
      <c r="G12" s="8">
        <f>Revenues!G13</f>
        <v>992.85714285714289</v>
      </c>
      <c r="H12" s="8">
        <f>Revenues!H13</f>
        <v>992.85714285714289</v>
      </c>
      <c r="I12" s="8">
        <f>Revenues!I13</f>
        <v>992.85714285714289</v>
      </c>
      <c r="J12" s="8">
        <f>Revenues!J13</f>
        <v>992.85714285714289</v>
      </c>
      <c r="K12" s="8">
        <f>Revenues!K13</f>
        <v>992.85714285714289</v>
      </c>
      <c r="L12" s="8">
        <f>Revenues!L13</f>
        <v>992.85714285714289</v>
      </c>
      <c r="M12" s="8">
        <f>Revenues!M13</f>
        <v>2978.5714285714284</v>
      </c>
      <c r="N12" s="8">
        <f>Revenues!N13</f>
        <v>2978.5714285714284</v>
      </c>
      <c r="O12" s="8">
        <f>Revenues!O13</f>
        <v>19857.142857142859</v>
      </c>
      <c r="P12" s="40">
        <f>Revenues!O26</f>
        <v>27105</v>
      </c>
      <c r="Q12" s="40">
        <f>Revenues!O39</f>
        <v>38225.000000000007</v>
      </c>
      <c r="R12" s="35"/>
    </row>
    <row r="13" spans="1:18" ht="14.25" hidden="1" customHeight="1">
      <c r="A13" s="4" t="s">
        <v>249</v>
      </c>
      <c r="B13" s="30" t="e">
        <f>Revenues!#REF!</f>
        <v>#REF!</v>
      </c>
      <c r="C13" s="8" t="e">
        <f>Revenues!#REF!</f>
        <v>#REF!</v>
      </c>
      <c r="D13" s="8" t="e">
        <f>Revenues!#REF!</f>
        <v>#REF!</v>
      </c>
      <c r="E13" s="8" t="e">
        <f>Revenues!#REF!</f>
        <v>#REF!</v>
      </c>
      <c r="F13" s="8" t="e">
        <f>Revenues!#REF!</f>
        <v>#REF!</v>
      </c>
      <c r="G13" s="8" t="e">
        <f>Revenues!#REF!</f>
        <v>#REF!</v>
      </c>
      <c r="H13" s="8" t="e">
        <f>Revenues!#REF!</f>
        <v>#REF!</v>
      </c>
      <c r="I13" s="8" t="e">
        <f>Revenues!#REF!</f>
        <v>#REF!</v>
      </c>
      <c r="J13" s="8" t="e">
        <f>Revenues!#REF!</f>
        <v>#REF!</v>
      </c>
      <c r="K13" s="8" t="e">
        <f>Revenues!#REF!</f>
        <v>#REF!</v>
      </c>
      <c r="L13" s="8" t="e">
        <f>Revenues!#REF!</f>
        <v>#REF!</v>
      </c>
      <c r="M13" s="8" t="e">
        <f>Revenues!#REF!</f>
        <v>#REF!</v>
      </c>
      <c r="N13" s="8" t="e">
        <f>Revenues!#REF!</f>
        <v>#REF!</v>
      </c>
      <c r="O13" s="8" t="e">
        <f>Revenues!#REF!</f>
        <v>#REF!</v>
      </c>
      <c r="P13" s="40">
        <f>Revenues!O27</f>
        <v>33285</v>
      </c>
      <c r="Q13" s="40">
        <f>Revenues!O40</f>
        <v>32120.000000000004</v>
      </c>
      <c r="R13" s="35"/>
    </row>
    <row r="14" spans="1:18" ht="14.25" hidden="1" customHeight="1">
      <c r="A14" s="4" t="s">
        <v>251</v>
      </c>
      <c r="B14" s="30" t="e">
        <f>Revenues!#REF!</f>
        <v>#REF!</v>
      </c>
      <c r="C14" s="8" t="e">
        <f>Revenues!#REF!</f>
        <v>#REF!</v>
      </c>
      <c r="D14" s="8" t="e">
        <f>Revenues!#REF!</f>
        <v>#REF!</v>
      </c>
      <c r="E14" s="8" t="e">
        <f>Revenues!#REF!</f>
        <v>#REF!</v>
      </c>
      <c r="F14" s="8" t="e">
        <f>Revenues!#REF!</f>
        <v>#REF!</v>
      </c>
      <c r="G14" s="8" t="e">
        <f>Revenues!#REF!</f>
        <v>#REF!</v>
      </c>
      <c r="H14" s="8" t="e">
        <f>Revenues!#REF!</f>
        <v>#REF!</v>
      </c>
      <c r="I14" s="8" t="e">
        <f>Revenues!#REF!</f>
        <v>#REF!</v>
      </c>
      <c r="J14" s="8" t="e">
        <f>Revenues!#REF!</f>
        <v>#REF!</v>
      </c>
      <c r="K14" s="8" t="e">
        <f>Revenues!#REF!</f>
        <v>#REF!</v>
      </c>
      <c r="L14" s="8" t="e">
        <f>Revenues!#REF!</f>
        <v>#REF!</v>
      </c>
      <c r="M14" s="8" t="e">
        <f>Revenues!#REF!</f>
        <v>#REF!</v>
      </c>
      <c r="N14" s="8" t="e">
        <f>Revenues!#REF!</f>
        <v>#REF!</v>
      </c>
      <c r="O14" s="8" t="e">
        <f>Revenues!#REF!</f>
        <v>#REF!</v>
      </c>
      <c r="P14" s="40" t="e">
        <f>Revenues!#REF!</f>
        <v>#REF!</v>
      </c>
      <c r="Q14" s="40" t="e">
        <f>Revenues!#REF!</f>
        <v>#REF!</v>
      </c>
      <c r="R14" s="35"/>
    </row>
    <row r="15" spans="1:18" ht="14.25" hidden="1" customHeight="1">
      <c r="A15" s="4" t="s">
        <v>253</v>
      </c>
      <c r="B15" s="30" t="e">
        <f>Revenues!#REF!</f>
        <v>#REF!</v>
      </c>
      <c r="C15" s="8" t="e">
        <f>Revenues!#REF!</f>
        <v>#REF!</v>
      </c>
      <c r="D15" s="8" t="e">
        <f>Revenues!#REF!</f>
        <v>#REF!</v>
      </c>
      <c r="E15" s="8" t="e">
        <f>Revenues!#REF!</f>
        <v>#REF!</v>
      </c>
      <c r="F15" s="8" t="e">
        <f>Revenues!#REF!</f>
        <v>#REF!</v>
      </c>
      <c r="G15" s="8" t="e">
        <f>Revenues!#REF!</f>
        <v>#REF!</v>
      </c>
      <c r="H15" s="8" t="e">
        <f>Revenues!#REF!</f>
        <v>#REF!</v>
      </c>
      <c r="I15" s="8" t="e">
        <f>Revenues!#REF!</f>
        <v>#REF!</v>
      </c>
      <c r="J15" s="8" t="e">
        <f>Revenues!#REF!</f>
        <v>#REF!</v>
      </c>
      <c r="K15" s="8" t="e">
        <f>Revenues!#REF!</f>
        <v>#REF!</v>
      </c>
      <c r="L15" s="8" t="e">
        <f>Revenues!#REF!</f>
        <v>#REF!</v>
      </c>
      <c r="M15" s="8" t="e">
        <f>Revenues!#REF!</f>
        <v>#REF!</v>
      </c>
      <c r="N15" s="8" t="e">
        <f>Revenues!#REF!</f>
        <v>#REF!</v>
      </c>
      <c r="O15" s="8" t="e">
        <f>Revenues!#REF!</f>
        <v>#REF!</v>
      </c>
      <c r="P15" s="40" t="e">
        <f>Revenues!#REF!</f>
        <v>#REF!</v>
      </c>
      <c r="Q15" s="40" t="e">
        <f>Revenues!#REF!</f>
        <v>#REF!</v>
      </c>
      <c r="R15" s="35"/>
    </row>
    <row r="16" spans="1:18" ht="14.25" hidden="1" customHeight="1">
      <c r="A16" s="4" t="s">
        <v>255</v>
      </c>
      <c r="B16" s="30">
        <f>Revenues!B14</f>
        <v>0.20793549755994062</v>
      </c>
      <c r="C16" s="8">
        <f>Revenues!C14</f>
        <v>2800</v>
      </c>
      <c r="D16" s="8">
        <f>Revenues!D14</f>
        <v>3100</v>
      </c>
      <c r="E16" s="8">
        <f>Revenues!E14</f>
        <v>3400</v>
      </c>
      <c r="F16" s="8">
        <f>Revenues!F14</f>
        <v>2500</v>
      </c>
      <c r="G16" s="8">
        <f>Revenues!G14</f>
        <v>2000</v>
      </c>
      <c r="H16" s="8">
        <f>Revenues!H14</f>
        <v>1400</v>
      </c>
      <c r="I16" s="8">
        <f>Revenues!I14</f>
        <v>1100</v>
      </c>
      <c r="J16" s="8">
        <f>Revenues!J14</f>
        <v>1100</v>
      </c>
      <c r="K16" s="8">
        <f>Revenues!K14</f>
        <v>1400</v>
      </c>
      <c r="L16" s="8">
        <f>Revenues!L14</f>
        <v>2000</v>
      </c>
      <c r="M16" s="8">
        <f>Revenues!M14</f>
        <v>3600</v>
      </c>
      <c r="N16" s="8">
        <f>Revenues!N14</f>
        <v>3600</v>
      </c>
      <c r="O16" s="8">
        <f>Revenues!O14</f>
        <v>28000</v>
      </c>
      <c r="P16" s="40" t="e">
        <f>Revenues!#REF!</f>
        <v>#REF!</v>
      </c>
      <c r="Q16" s="40" t="e">
        <f>Revenues!#REF!</f>
        <v>#REF!</v>
      </c>
      <c r="R16" s="35"/>
    </row>
    <row r="17" spans="1:18" ht="14.25" hidden="1" customHeight="1">
      <c r="A17" s="46" t="s">
        <v>94</v>
      </c>
      <c r="B17" s="47" t="e">
        <f t="shared" ref="B17:Q17" si="0">SUM(B6:B16)</f>
        <v>#REF!</v>
      </c>
      <c r="C17" s="84" t="e">
        <f t="shared" si="0"/>
        <v>#REF!</v>
      </c>
      <c r="D17" s="84" t="e">
        <f t="shared" si="0"/>
        <v>#REF!</v>
      </c>
      <c r="E17" s="84" t="e">
        <f t="shared" si="0"/>
        <v>#REF!</v>
      </c>
      <c r="F17" s="84" t="e">
        <f t="shared" si="0"/>
        <v>#REF!</v>
      </c>
      <c r="G17" s="84" t="e">
        <f t="shared" si="0"/>
        <v>#REF!</v>
      </c>
      <c r="H17" s="84" t="e">
        <f t="shared" si="0"/>
        <v>#REF!</v>
      </c>
      <c r="I17" s="84" t="e">
        <f t="shared" si="0"/>
        <v>#REF!</v>
      </c>
      <c r="J17" s="84" t="e">
        <f t="shared" si="0"/>
        <v>#REF!</v>
      </c>
      <c r="K17" s="84" t="e">
        <f t="shared" si="0"/>
        <v>#REF!</v>
      </c>
      <c r="L17" s="84" t="e">
        <f t="shared" si="0"/>
        <v>#REF!</v>
      </c>
      <c r="M17" s="84" t="e">
        <f t="shared" si="0"/>
        <v>#REF!</v>
      </c>
      <c r="N17" s="84" t="e">
        <f t="shared" si="0"/>
        <v>#REF!</v>
      </c>
      <c r="O17" s="84" t="e">
        <f t="shared" si="0"/>
        <v>#REF!</v>
      </c>
      <c r="P17" s="94" t="e">
        <f t="shared" si="0"/>
        <v>#REF!</v>
      </c>
      <c r="Q17" s="94" t="e">
        <f t="shared" si="0"/>
        <v>#REF!</v>
      </c>
      <c r="R17" s="53"/>
    </row>
    <row r="18" spans="1:18" ht="14.25" hidden="1" customHeight="1"/>
    <row r="19" spans="1:18" ht="14.25" hidden="1" customHeight="1">
      <c r="A19" s="59"/>
      <c r="B19" s="107" t="s">
        <v>261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3"/>
      <c r="P19" s="95"/>
      <c r="Q19" s="95"/>
      <c r="R19" s="53"/>
    </row>
    <row r="20" spans="1:18" ht="14.25" hidden="1" customHeight="1">
      <c r="A20" s="59"/>
      <c r="B20" s="20" t="str">
        <f>Revenues!B32</f>
        <v>Anteil</v>
      </c>
      <c r="C20" s="20" t="str">
        <f>Revenues!C32</f>
        <v>1. Monat</v>
      </c>
      <c r="D20" s="20" t="str">
        <f>Revenues!D32</f>
        <v>2. Monat</v>
      </c>
      <c r="E20" s="20" t="str">
        <f>Revenues!E32</f>
        <v>3. Monat</v>
      </c>
      <c r="F20" s="20" t="str">
        <f>Revenues!F32</f>
        <v>4. Monat</v>
      </c>
      <c r="G20" s="20" t="str">
        <f>Revenues!G32</f>
        <v>5. Monat</v>
      </c>
      <c r="H20" s="20" t="str">
        <f>Revenues!H32</f>
        <v>6. Monat</v>
      </c>
      <c r="I20" s="20" t="str">
        <f>Revenues!I32</f>
        <v>7. Monat</v>
      </c>
      <c r="J20" s="20" t="str">
        <f>Revenues!J32</f>
        <v>8. Monat</v>
      </c>
      <c r="K20" s="20" t="str">
        <f>Revenues!K32</f>
        <v>9. Monat</v>
      </c>
      <c r="L20" s="20" t="str">
        <f>Revenues!L32</f>
        <v>10. Monat</v>
      </c>
      <c r="M20" s="20" t="str">
        <f>Revenues!M32</f>
        <v>11. Monat</v>
      </c>
      <c r="N20" s="20" t="str">
        <f>Revenues!N32</f>
        <v>12. Monat</v>
      </c>
      <c r="O20" s="4" t="str">
        <f>Revenues!O32</f>
        <v>Gesamt</v>
      </c>
      <c r="P20" s="95"/>
      <c r="Q20" s="95"/>
      <c r="R20" s="53"/>
    </row>
    <row r="21" spans="1:18" ht="14.25" hidden="1" customHeight="1">
      <c r="A21" s="4" t="str">
        <f>Revenues!A33</f>
        <v>Premium-Menüs</v>
      </c>
      <c r="B21" s="30">
        <f>Revenues!B20</f>
        <v>0</v>
      </c>
      <c r="C21" s="8">
        <f>Revenues!C20</f>
        <v>0</v>
      </c>
      <c r="D21" s="8">
        <f>Revenues!D20</f>
        <v>0</v>
      </c>
      <c r="E21" s="8">
        <f>Revenues!E20</f>
        <v>0</v>
      </c>
      <c r="F21" s="8">
        <f>Revenues!F20</f>
        <v>0</v>
      </c>
      <c r="G21" s="8">
        <f>Revenues!G20</f>
        <v>0</v>
      </c>
      <c r="H21" s="8">
        <f>Revenues!H20</f>
        <v>0</v>
      </c>
      <c r="I21" s="8">
        <f>Revenues!I20</f>
        <v>0</v>
      </c>
      <c r="J21" s="8">
        <f>Revenues!J20</f>
        <v>0</v>
      </c>
      <c r="K21" s="8">
        <f>Revenues!K20</f>
        <v>0</v>
      </c>
      <c r="L21" s="8">
        <f>Revenues!L20</f>
        <v>0</v>
      </c>
      <c r="M21" s="8">
        <f>Revenues!M20</f>
        <v>0</v>
      </c>
      <c r="N21" s="8">
        <f>Revenues!N20</f>
        <v>0</v>
      </c>
      <c r="O21" s="8">
        <f>Revenues!O20</f>
        <v>0</v>
      </c>
      <c r="P21" s="95"/>
      <c r="Q21" s="95"/>
      <c r="R21" s="53"/>
    </row>
    <row r="22" spans="1:18" ht="14.25" hidden="1" customHeight="1">
      <c r="A22" s="4" t="str">
        <f>Revenues!A34</f>
        <v>Premium-Getränke</v>
      </c>
      <c r="B22" s="30">
        <f>Revenues!B21</f>
        <v>0</v>
      </c>
      <c r="C22" s="8">
        <f>Revenues!C21</f>
        <v>0</v>
      </c>
      <c r="D22" s="8">
        <f>Revenues!D21</f>
        <v>0</v>
      </c>
      <c r="E22" s="8">
        <f>Revenues!E21</f>
        <v>0</v>
      </c>
      <c r="F22" s="8">
        <f>Revenues!F21</f>
        <v>0</v>
      </c>
      <c r="G22" s="8">
        <f>Revenues!G21</f>
        <v>0</v>
      </c>
      <c r="H22" s="8">
        <f>Revenues!H21</f>
        <v>0</v>
      </c>
      <c r="I22" s="8">
        <f>Revenues!I21</f>
        <v>0</v>
      </c>
      <c r="J22" s="8">
        <f>Revenues!J21</f>
        <v>0</v>
      </c>
      <c r="K22" s="8">
        <f>Revenues!K21</f>
        <v>0</v>
      </c>
      <c r="L22" s="8">
        <f>Revenues!L21</f>
        <v>0</v>
      </c>
      <c r="M22" s="8">
        <f>Revenues!M21</f>
        <v>0</v>
      </c>
      <c r="N22" s="8">
        <f>Revenues!N21</f>
        <v>0</v>
      </c>
      <c r="O22" s="8">
        <f>Revenues!O21</f>
        <v>0</v>
      </c>
      <c r="P22" s="95"/>
      <c r="Q22" s="95"/>
      <c r="R22" s="53"/>
    </row>
    <row r="23" spans="1:18" ht="14.25" hidden="1" customHeight="1">
      <c r="A23" s="4" t="str">
        <f>Revenues!A35</f>
        <v>6 Tage Schnuppertherapie</v>
      </c>
      <c r="B23" s="30">
        <f>Revenues!B22</f>
        <v>0.13029626889713516</v>
      </c>
      <c r="C23" s="8">
        <f>Revenues!C22</f>
        <v>5460</v>
      </c>
      <c r="D23" s="8">
        <f>Revenues!D22</f>
        <v>5460</v>
      </c>
      <c r="E23" s="8">
        <f>Revenues!E22</f>
        <v>5460</v>
      </c>
      <c r="F23" s="8">
        <f>Revenues!F22</f>
        <v>5460</v>
      </c>
      <c r="G23" s="8">
        <f>Revenues!G22</f>
        <v>0</v>
      </c>
      <c r="H23" s="8">
        <f>Revenues!H22</f>
        <v>0</v>
      </c>
      <c r="I23" s="8">
        <f>Revenues!I22</f>
        <v>0</v>
      </c>
      <c r="J23" s="8">
        <f>Revenues!J22</f>
        <v>0</v>
      </c>
      <c r="K23" s="8">
        <f>Revenues!K22</f>
        <v>0</v>
      </c>
      <c r="L23" s="8">
        <f>Revenues!L22</f>
        <v>0</v>
      </c>
      <c r="M23" s="8">
        <f>Revenues!M22</f>
        <v>5460</v>
      </c>
      <c r="N23" s="8">
        <f>Revenues!N22</f>
        <v>5460</v>
      </c>
      <c r="O23" s="8">
        <f>Revenues!O22</f>
        <v>32760</v>
      </c>
      <c r="P23" s="95"/>
      <c r="Q23" s="95"/>
      <c r="R23" s="53"/>
    </row>
    <row r="24" spans="1:18" ht="14.25" hidden="1" customHeight="1">
      <c r="A24" s="4" t="str">
        <f>Revenues!A36</f>
        <v>6 Tage Intensivtherapie</v>
      </c>
      <c r="B24" s="30">
        <f>Revenues!B23</f>
        <v>0.29024329129329784</v>
      </c>
      <c r="C24" s="8">
        <f>Revenues!C23</f>
        <v>7297.5</v>
      </c>
      <c r="D24" s="8">
        <f>Revenues!D23</f>
        <v>7297.5</v>
      </c>
      <c r="E24" s="8">
        <f>Revenues!E23</f>
        <v>7297.5</v>
      </c>
      <c r="F24" s="8">
        <f>Revenues!F23</f>
        <v>7297.5</v>
      </c>
      <c r="G24" s="8">
        <f>Revenues!G23</f>
        <v>7297.5</v>
      </c>
      <c r="H24" s="8">
        <f>Revenues!H23</f>
        <v>7297.5</v>
      </c>
      <c r="I24" s="8">
        <f>Revenues!I23</f>
        <v>0</v>
      </c>
      <c r="J24" s="8">
        <f>Revenues!J23</f>
        <v>0</v>
      </c>
      <c r="K24" s="8">
        <f>Revenues!K23</f>
        <v>7297.5</v>
      </c>
      <c r="L24" s="8">
        <f>Revenues!L23</f>
        <v>7297.5</v>
      </c>
      <c r="M24" s="8">
        <f>Revenues!M23</f>
        <v>7297.5</v>
      </c>
      <c r="N24" s="8">
        <f>Revenues!N23</f>
        <v>7297.5</v>
      </c>
      <c r="O24" s="8">
        <f>Revenues!O23</f>
        <v>72975</v>
      </c>
      <c r="P24" s="95"/>
      <c r="Q24" s="95"/>
      <c r="R24" s="53"/>
    </row>
    <row r="25" spans="1:18" ht="14.25" hidden="1" customHeight="1">
      <c r="A25" s="4" t="str">
        <f>Revenues!A37</f>
        <v>13 Tage Intensivtherapie</v>
      </c>
      <c r="B25" s="30">
        <f>Revenues!B24</f>
        <v>0.33927143862830961</v>
      </c>
      <c r="C25" s="8">
        <f>Revenues!C24</f>
        <v>14217</v>
      </c>
      <c r="D25" s="8">
        <f>Revenues!D24</f>
        <v>14217</v>
      </c>
      <c r="E25" s="8">
        <f>Revenues!E24</f>
        <v>14217</v>
      </c>
      <c r="F25" s="8">
        <f>Revenues!F24</f>
        <v>14217</v>
      </c>
      <c r="G25" s="8">
        <f>Revenues!G24</f>
        <v>0</v>
      </c>
      <c r="H25" s="8">
        <f>Revenues!H24</f>
        <v>0</v>
      </c>
      <c r="I25" s="8">
        <f>Revenues!I24</f>
        <v>0</v>
      </c>
      <c r="J25" s="8">
        <f>Revenues!J24</f>
        <v>0</v>
      </c>
      <c r="K25" s="8">
        <f>Revenues!K24</f>
        <v>0</v>
      </c>
      <c r="L25" s="8">
        <f>Revenues!L24</f>
        <v>0</v>
      </c>
      <c r="M25" s="8">
        <f>Revenues!M24</f>
        <v>14217</v>
      </c>
      <c r="N25" s="8">
        <f>Revenues!N24</f>
        <v>14217</v>
      </c>
      <c r="O25" s="8">
        <f>Revenues!O24</f>
        <v>85302</v>
      </c>
      <c r="P25" s="95"/>
      <c r="Q25" s="95"/>
      <c r="R25" s="53"/>
    </row>
    <row r="26" spans="1:18" ht="14.25" hidden="1" customHeight="1">
      <c r="A26" s="4" t="str">
        <f>Revenues!A38</f>
        <v>27 Tage Intensivtherapie</v>
      </c>
      <c r="B26" s="30">
        <f>Revenues!B25</f>
        <v>0</v>
      </c>
      <c r="C26" s="8">
        <f>Revenues!C25</f>
        <v>0</v>
      </c>
      <c r="D26" s="8">
        <f>Revenues!D25</f>
        <v>0</v>
      </c>
      <c r="E26" s="8">
        <f>Revenues!E25</f>
        <v>0</v>
      </c>
      <c r="F26" s="8">
        <f>Revenues!F25</f>
        <v>0</v>
      </c>
      <c r="G26" s="8">
        <f>Revenues!G25</f>
        <v>0</v>
      </c>
      <c r="H26" s="8">
        <f>Revenues!H25</f>
        <v>0</v>
      </c>
      <c r="I26" s="8">
        <f>Revenues!I25</f>
        <v>0</v>
      </c>
      <c r="J26" s="8">
        <f>Revenues!J25</f>
        <v>0</v>
      </c>
      <c r="K26" s="8">
        <f>Revenues!K25</f>
        <v>0</v>
      </c>
      <c r="L26" s="8">
        <f>Revenues!L25</f>
        <v>0</v>
      </c>
      <c r="M26" s="8">
        <f>Revenues!M25</f>
        <v>0</v>
      </c>
      <c r="N26" s="8">
        <f>Revenues!N25</f>
        <v>0</v>
      </c>
      <c r="O26" s="8">
        <f>Revenues!O25</f>
        <v>0</v>
      </c>
      <c r="P26" s="95"/>
      <c r="Q26" s="95"/>
      <c r="R26" s="53"/>
    </row>
    <row r="27" spans="1:18" ht="14.25" hidden="1" customHeight="1">
      <c r="A27" s="4" t="str">
        <f>Revenues!A39</f>
        <v>Verlängerungstage</v>
      </c>
      <c r="B27" s="30">
        <f>Revenues!B26</f>
        <v>0.10780465105179635</v>
      </c>
      <c r="C27" s="8">
        <f>Revenues!C26</f>
        <v>3127.5</v>
      </c>
      <c r="D27" s="8">
        <f>Revenues!D26</f>
        <v>3127.5</v>
      </c>
      <c r="E27" s="8">
        <f>Revenues!E26</f>
        <v>3127.5</v>
      </c>
      <c r="F27" s="8">
        <f>Revenues!F26</f>
        <v>3127.5</v>
      </c>
      <c r="G27" s="8">
        <f>Revenues!G26</f>
        <v>2085</v>
      </c>
      <c r="H27" s="8">
        <f>Revenues!H26</f>
        <v>1042.5</v>
      </c>
      <c r="I27" s="8">
        <f>Revenues!I26</f>
        <v>1042.5</v>
      </c>
      <c r="J27" s="8">
        <f>Revenues!J26</f>
        <v>1042.5</v>
      </c>
      <c r="K27" s="8">
        <f>Revenues!K26</f>
        <v>1042.5</v>
      </c>
      <c r="L27" s="8">
        <f>Revenues!L26</f>
        <v>2085</v>
      </c>
      <c r="M27" s="8">
        <f>Revenues!M26</f>
        <v>3127.5</v>
      </c>
      <c r="N27" s="8">
        <f>Revenues!N26</f>
        <v>3127.5</v>
      </c>
      <c r="O27" s="8">
        <f>Revenues!O26</f>
        <v>27105</v>
      </c>
      <c r="P27" s="95"/>
      <c r="Q27" s="95"/>
      <c r="R27" s="53"/>
    </row>
    <row r="28" spans="1:18" ht="14.25" hidden="1" customHeight="1">
      <c r="A28" s="4" t="str">
        <f>Revenues!A40</f>
        <v>Sonstige Dienstleistungen</v>
      </c>
      <c r="B28" s="30">
        <f>Revenues!B27</f>
        <v>0.13238435012946104</v>
      </c>
      <c r="C28" s="8">
        <f>Revenues!C27</f>
        <v>3990</v>
      </c>
      <c r="D28" s="8">
        <f>Revenues!D27</f>
        <v>3990</v>
      </c>
      <c r="E28" s="8">
        <f>Revenues!E27</f>
        <v>3990</v>
      </c>
      <c r="F28" s="8">
        <f>Revenues!F27</f>
        <v>3255</v>
      </c>
      <c r="G28" s="8">
        <f>Revenues!G27</f>
        <v>2310</v>
      </c>
      <c r="H28" s="8">
        <f>Revenues!H27</f>
        <v>1680</v>
      </c>
      <c r="I28" s="8">
        <f>Revenues!I27</f>
        <v>1365</v>
      </c>
      <c r="J28" s="8">
        <f>Revenues!J27</f>
        <v>1365</v>
      </c>
      <c r="K28" s="8">
        <f>Revenues!K27</f>
        <v>1680</v>
      </c>
      <c r="L28" s="8">
        <f>Revenues!L27</f>
        <v>1995</v>
      </c>
      <c r="M28" s="8">
        <f>Revenues!M27</f>
        <v>3675</v>
      </c>
      <c r="N28" s="8">
        <f>Revenues!N27</f>
        <v>3990</v>
      </c>
      <c r="O28" s="8">
        <f>Revenues!O27</f>
        <v>33285</v>
      </c>
      <c r="P28" s="95"/>
      <c r="Q28" s="95"/>
      <c r="R28" s="53"/>
    </row>
    <row r="29" spans="1:18" ht="14.25" hidden="1" customHeight="1">
      <c r="A29" s="4" t="e">
        <f>Revenues!#REF!</f>
        <v>#REF!</v>
      </c>
      <c r="B29" s="30" t="e">
        <f>Revenues!#REF!</f>
        <v>#REF!</v>
      </c>
      <c r="C29" s="8" t="e">
        <f>Revenues!#REF!</f>
        <v>#REF!</v>
      </c>
      <c r="D29" s="8" t="e">
        <f>Revenues!#REF!</f>
        <v>#REF!</v>
      </c>
      <c r="E29" s="8" t="e">
        <f>Revenues!#REF!</f>
        <v>#REF!</v>
      </c>
      <c r="F29" s="8" t="e">
        <f>Revenues!#REF!</f>
        <v>#REF!</v>
      </c>
      <c r="G29" s="8" t="e">
        <f>Revenues!#REF!</f>
        <v>#REF!</v>
      </c>
      <c r="H29" s="8" t="e">
        <f>Revenues!#REF!</f>
        <v>#REF!</v>
      </c>
      <c r="I29" s="8" t="e">
        <f>Revenues!#REF!</f>
        <v>#REF!</v>
      </c>
      <c r="J29" s="8" t="e">
        <f>Revenues!#REF!</f>
        <v>#REF!</v>
      </c>
      <c r="K29" s="8" t="e">
        <f>Revenues!#REF!</f>
        <v>#REF!</v>
      </c>
      <c r="L29" s="8" t="e">
        <f>Revenues!#REF!</f>
        <v>#REF!</v>
      </c>
      <c r="M29" s="8" t="e">
        <f>Revenues!#REF!</f>
        <v>#REF!</v>
      </c>
      <c r="N29" s="8" t="e">
        <f>Revenues!#REF!</f>
        <v>#REF!</v>
      </c>
      <c r="O29" s="8" t="e">
        <f>Revenues!#REF!</f>
        <v>#REF!</v>
      </c>
      <c r="P29" s="95"/>
      <c r="Q29" s="95"/>
      <c r="R29" s="53"/>
    </row>
    <row r="30" spans="1:18" ht="14.25" hidden="1" customHeight="1">
      <c r="A30" s="4" t="e">
        <f>Revenues!#REF!</f>
        <v>#REF!</v>
      </c>
      <c r="B30" s="30" t="e">
        <f>Revenues!#REF!</f>
        <v>#REF!</v>
      </c>
      <c r="C30" s="8" t="e">
        <f>Revenues!#REF!</f>
        <v>#REF!</v>
      </c>
      <c r="D30" s="8" t="e">
        <f>Revenues!#REF!</f>
        <v>#REF!</v>
      </c>
      <c r="E30" s="8" t="e">
        <f>Revenues!#REF!</f>
        <v>#REF!</v>
      </c>
      <c r="F30" s="8" t="e">
        <f>Revenues!#REF!</f>
        <v>#REF!</v>
      </c>
      <c r="G30" s="8" t="e">
        <f>Revenues!#REF!</f>
        <v>#REF!</v>
      </c>
      <c r="H30" s="8" t="e">
        <f>Revenues!#REF!</f>
        <v>#REF!</v>
      </c>
      <c r="I30" s="8" t="e">
        <f>Revenues!#REF!</f>
        <v>#REF!</v>
      </c>
      <c r="J30" s="8" t="e">
        <f>Revenues!#REF!</f>
        <v>#REF!</v>
      </c>
      <c r="K30" s="8" t="e">
        <f>Revenues!#REF!</f>
        <v>#REF!</v>
      </c>
      <c r="L30" s="8" t="e">
        <f>Revenues!#REF!</f>
        <v>#REF!</v>
      </c>
      <c r="M30" s="8" t="e">
        <f>Revenues!#REF!</f>
        <v>#REF!</v>
      </c>
      <c r="N30" s="8" t="e">
        <f>Revenues!#REF!</f>
        <v>#REF!</v>
      </c>
      <c r="O30" s="8" t="e">
        <f>Revenues!#REF!</f>
        <v>#REF!</v>
      </c>
      <c r="P30" s="95"/>
      <c r="Q30" s="95"/>
      <c r="R30" s="53"/>
    </row>
    <row r="31" spans="1:18" ht="14.25" hidden="1" customHeight="1">
      <c r="A31" s="4" t="e">
        <f>Revenues!#REF!</f>
        <v>#REF!</v>
      </c>
      <c r="B31" s="30" t="e">
        <f>Revenues!#REF!</f>
        <v>#REF!</v>
      </c>
      <c r="C31" s="8" t="e">
        <f>Revenues!#REF!</f>
        <v>#REF!</v>
      </c>
      <c r="D31" s="8" t="e">
        <f>Revenues!#REF!</f>
        <v>#REF!</v>
      </c>
      <c r="E31" s="8" t="e">
        <f>Revenues!#REF!</f>
        <v>#REF!</v>
      </c>
      <c r="F31" s="8" t="e">
        <f>Revenues!#REF!</f>
        <v>#REF!</v>
      </c>
      <c r="G31" s="8" t="e">
        <f>Revenues!#REF!</f>
        <v>#REF!</v>
      </c>
      <c r="H31" s="8" t="e">
        <f>Revenues!#REF!</f>
        <v>#REF!</v>
      </c>
      <c r="I31" s="8" t="e">
        <f>Revenues!#REF!</f>
        <v>#REF!</v>
      </c>
      <c r="J31" s="8" t="e">
        <f>Revenues!#REF!</f>
        <v>#REF!</v>
      </c>
      <c r="K31" s="8" t="e">
        <f>Revenues!#REF!</f>
        <v>#REF!</v>
      </c>
      <c r="L31" s="8" t="e">
        <f>Revenues!#REF!</f>
        <v>#REF!</v>
      </c>
      <c r="M31" s="8" t="e">
        <f>Revenues!#REF!</f>
        <v>#REF!</v>
      </c>
      <c r="N31" s="8" t="e">
        <f>Revenues!#REF!</f>
        <v>#REF!</v>
      </c>
      <c r="O31" s="8" t="e">
        <f>Revenues!#REF!</f>
        <v>#REF!</v>
      </c>
      <c r="P31" s="95"/>
      <c r="Q31" s="95"/>
      <c r="R31" s="53"/>
    </row>
    <row r="32" spans="1:18" ht="14.25" hidden="1" customHeight="1">
      <c r="A32" s="61" t="str">
        <f>Revenues!A41</f>
        <v>Summe Umsatz</v>
      </c>
      <c r="B32" s="99"/>
      <c r="C32" s="50">
        <f>Revenues!C28</f>
        <v>34092</v>
      </c>
      <c r="D32" s="50">
        <f>Revenues!D28</f>
        <v>34092</v>
      </c>
      <c r="E32" s="50">
        <f>Revenues!E28</f>
        <v>34092</v>
      </c>
      <c r="F32" s="50">
        <f>Revenues!F28</f>
        <v>33357</v>
      </c>
      <c r="G32" s="50">
        <f>Revenues!G28</f>
        <v>11692.5</v>
      </c>
      <c r="H32" s="50">
        <f>Revenues!H28</f>
        <v>10020</v>
      </c>
      <c r="I32" s="50">
        <f>Revenues!I28</f>
        <v>2407.5</v>
      </c>
      <c r="J32" s="50">
        <f>Revenues!J28</f>
        <v>2407.5</v>
      </c>
      <c r="K32" s="50">
        <f>Revenues!K28</f>
        <v>10020</v>
      </c>
      <c r="L32" s="50">
        <f>Revenues!L28</f>
        <v>11377.5</v>
      </c>
      <c r="M32" s="50">
        <f>Revenues!M28</f>
        <v>33777</v>
      </c>
      <c r="N32" s="50">
        <f>Revenues!N28</f>
        <v>34092</v>
      </c>
      <c r="O32" s="50">
        <f>Revenues!O28</f>
        <v>251427</v>
      </c>
      <c r="P32" s="95"/>
      <c r="Q32" s="95"/>
      <c r="R32" s="53"/>
    </row>
    <row r="33" spans="1:37" ht="14.25" hidden="1" customHeight="1">
      <c r="A33" s="59"/>
      <c r="B33" s="100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95"/>
      <c r="Q33" s="95"/>
      <c r="R33" s="53"/>
    </row>
    <row r="34" spans="1:37" ht="14.25" hidden="1" customHeight="1">
      <c r="A34" s="59"/>
      <c r="B34" s="107" t="s">
        <v>272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  <c r="P34" s="95"/>
      <c r="Q34" s="95"/>
      <c r="R34" s="53"/>
    </row>
    <row r="35" spans="1:37" ht="14.25" hidden="1" customHeight="1">
      <c r="A35" s="59"/>
      <c r="B35" s="20" t="str">
        <f>Revenues!B32</f>
        <v>Anteil</v>
      </c>
      <c r="C35" s="20" t="str">
        <f>Revenues!C32</f>
        <v>1. Monat</v>
      </c>
      <c r="D35" s="20" t="str">
        <f>Revenues!D32</f>
        <v>2. Monat</v>
      </c>
      <c r="E35" s="20" t="str">
        <f>Revenues!E32</f>
        <v>3. Monat</v>
      </c>
      <c r="F35" s="20" t="str">
        <f>Revenues!F32</f>
        <v>4. Monat</v>
      </c>
      <c r="G35" s="20" t="str">
        <f>Revenues!G32</f>
        <v>5. Monat</v>
      </c>
      <c r="H35" s="20" t="str">
        <f>Revenues!H32</f>
        <v>6. Monat</v>
      </c>
      <c r="I35" s="20" t="str">
        <f>Revenues!I32</f>
        <v>7. Monat</v>
      </c>
      <c r="J35" s="20" t="str">
        <f>Revenues!J32</f>
        <v>8. Monat</v>
      </c>
      <c r="K35" s="20" t="str">
        <f>Revenues!K32</f>
        <v>9. Monat</v>
      </c>
      <c r="L35" s="20" t="str">
        <f>Revenues!L32</f>
        <v>10. Monat</v>
      </c>
      <c r="M35" s="20" t="str">
        <f>Revenues!M32</f>
        <v>11. Monat</v>
      </c>
      <c r="N35" s="20" t="str">
        <f>Revenues!N32</f>
        <v>12. Monat</v>
      </c>
      <c r="O35" s="4" t="str">
        <f>Revenues!O32</f>
        <v>Gesamt</v>
      </c>
      <c r="P35" s="95"/>
      <c r="Q35" s="95"/>
      <c r="R35" s="53"/>
    </row>
    <row r="36" spans="1:37" ht="14.25" hidden="1" customHeight="1">
      <c r="A36" s="4" t="str">
        <f>Revenues!A33</f>
        <v>Premium-Menüs</v>
      </c>
      <c r="B36" s="30">
        <f>Revenues!B33</f>
        <v>0</v>
      </c>
      <c r="C36" s="8">
        <f>Revenues!C33</f>
        <v>0</v>
      </c>
      <c r="D36" s="8">
        <f>Revenues!D33</f>
        <v>0</v>
      </c>
      <c r="E36" s="8">
        <f>Revenues!E33</f>
        <v>0</v>
      </c>
      <c r="F36" s="8">
        <f>Revenues!F33</f>
        <v>0</v>
      </c>
      <c r="G36" s="8">
        <f>Revenues!G33</f>
        <v>0</v>
      </c>
      <c r="H36" s="8">
        <f>Revenues!H33</f>
        <v>0</v>
      </c>
      <c r="I36" s="8">
        <f>Revenues!I33</f>
        <v>0</v>
      </c>
      <c r="J36" s="8">
        <f>Revenues!J33</f>
        <v>0</v>
      </c>
      <c r="K36" s="8">
        <f>Revenues!K33</f>
        <v>0</v>
      </c>
      <c r="L36" s="8">
        <f>Revenues!L33</f>
        <v>0</v>
      </c>
      <c r="M36" s="8">
        <f>Revenues!M33</f>
        <v>0</v>
      </c>
      <c r="N36" s="8">
        <f>Revenues!N33</f>
        <v>0</v>
      </c>
      <c r="O36" s="8">
        <f>Revenues!O33</f>
        <v>0</v>
      </c>
      <c r="P36" s="95"/>
      <c r="Q36" s="95"/>
      <c r="R36" s="53"/>
    </row>
    <row r="37" spans="1:37" ht="14.25" hidden="1" customHeight="1">
      <c r="A37" s="4" t="str">
        <f>Revenues!A34</f>
        <v>Premium-Getränke</v>
      </c>
      <c r="B37" s="30">
        <f>Revenues!B34</f>
        <v>0</v>
      </c>
      <c r="C37" s="8">
        <f>Revenues!C34</f>
        <v>0</v>
      </c>
      <c r="D37" s="8">
        <f>Revenues!D34</f>
        <v>0</v>
      </c>
      <c r="E37" s="8">
        <f>Revenues!E34</f>
        <v>0</v>
      </c>
      <c r="F37" s="8">
        <f>Revenues!F34</f>
        <v>0</v>
      </c>
      <c r="G37" s="8">
        <f>Revenues!G34</f>
        <v>0</v>
      </c>
      <c r="H37" s="8">
        <f>Revenues!H34</f>
        <v>0</v>
      </c>
      <c r="I37" s="8">
        <f>Revenues!I34</f>
        <v>0</v>
      </c>
      <c r="J37" s="8">
        <f>Revenues!J34</f>
        <v>0</v>
      </c>
      <c r="K37" s="8">
        <f>Revenues!K34</f>
        <v>0</v>
      </c>
      <c r="L37" s="8">
        <f>Revenues!L34</f>
        <v>0</v>
      </c>
      <c r="M37" s="8">
        <f>Revenues!M34</f>
        <v>0</v>
      </c>
      <c r="N37" s="8">
        <f>Revenues!N34</f>
        <v>0</v>
      </c>
      <c r="O37" s="8">
        <f>Revenues!O34</f>
        <v>0</v>
      </c>
      <c r="P37" s="95"/>
      <c r="Q37" s="95"/>
      <c r="R37" s="53"/>
    </row>
    <row r="38" spans="1:37" ht="14.25" hidden="1" customHeight="1">
      <c r="A38" s="4" t="str">
        <f>Revenues!A35</f>
        <v>6 Tage Schnuppertherapie</v>
      </c>
      <c r="B38" s="30">
        <f>Revenues!B35</f>
        <v>0.12026365493582084</v>
      </c>
      <c r="C38" s="8">
        <f>Revenues!C35</f>
        <v>5720.0000000000009</v>
      </c>
      <c r="D38" s="8">
        <f>Revenues!D35</f>
        <v>5720.0000000000009</v>
      </c>
      <c r="E38" s="8">
        <f>Revenues!E35</f>
        <v>5720.0000000000009</v>
      </c>
      <c r="F38" s="8">
        <f>Revenues!F35</f>
        <v>5720.0000000000009</v>
      </c>
      <c r="G38" s="8">
        <f>Revenues!G35</f>
        <v>0</v>
      </c>
      <c r="H38" s="8">
        <f>Revenues!H35</f>
        <v>0</v>
      </c>
      <c r="I38" s="8">
        <f>Revenues!I35</f>
        <v>0</v>
      </c>
      <c r="J38" s="8">
        <f>Revenues!J35</f>
        <v>0</v>
      </c>
      <c r="K38" s="8">
        <f>Revenues!K35</f>
        <v>0</v>
      </c>
      <c r="L38" s="8">
        <f>Revenues!L35</f>
        <v>0</v>
      </c>
      <c r="M38" s="8">
        <f>Revenues!M35</f>
        <v>5720.0000000000009</v>
      </c>
      <c r="N38" s="8">
        <f>Revenues!N35</f>
        <v>5720.0000000000009</v>
      </c>
      <c r="O38" s="8">
        <f>Revenues!O35</f>
        <v>34320.000000000007</v>
      </c>
      <c r="P38" s="95"/>
      <c r="Q38" s="95"/>
      <c r="R38" s="53"/>
    </row>
    <row r="39" spans="1:37" ht="14.25" hidden="1" customHeight="1">
      <c r="A39" s="4" t="str">
        <f>Revenues!A36</f>
        <v>6 Tage Intensivtherapie</v>
      </c>
      <c r="B39" s="30">
        <f>Revenues!B36</f>
        <v>0.26789500057819066</v>
      </c>
      <c r="C39" s="8">
        <f>Revenues!C36</f>
        <v>7645.0000000000009</v>
      </c>
      <c r="D39" s="8">
        <f>Revenues!D36</f>
        <v>7645.0000000000009</v>
      </c>
      <c r="E39" s="8">
        <f>Revenues!E36</f>
        <v>7645.0000000000009</v>
      </c>
      <c r="F39" s="8">
        <f>Revenues!F36</f>
        <v>7645.0000000000009</v>
      </c>
      <c r="G39" s="8">
        <f>Revenues!G36</f>
        <v>7645.0000000000009</v>
      </c>
      <c r="H39" s="8">
        <f>Revenues!H36</f>
        <v>7645.0000000000009</v>
      </c>
      <c r="I39" s="8">
        <f>Revenues!I36</f>
        <v>0</v>
      </c>
      <c r="J39" s="8">
        <f>Revenues!J36</f>
        <v>0</v>
      </c>
      <c r="K39" s="8">
        <f>Revenues!K36</f>
        <v>7645.0000000000009</v>
      </c>
      <c r="L39" s="8">
        <f>Revenues!L36</f>
        <v>7645.0000000000009</v>
      </c>
      <c r="M39" s="8">
        <f>Revenues!M36</f>
        <v>7645.0000000000009</v>
      </c>
      <c r="N39" s="8">
        <f>Revenues!N36</f>
        <v>7645.0000000000009</v>
      </c>
      <c r="O39" s="8">
        <f>Revenues!O36</f>
        <v>76450.000000000015</v>
      </c>
      <c r="P39" s="95"/>
      <c r="Q39" s="95"/>
      <c r="R39" s="53"/>
    </row>
    <row r="40" spans="1:37" ht="14.25" hidden="1" customHeight="1">
      <c r="A40" s="4" t="str">
        <f>Revenues!A37</f>
        <v>13 Tage Intensivtherapie</v>
      </c>
      <c r="B40" s="30">
        <f>Revenues!B37</f>
        <v>0.36533939791080444</v>
      </c>
      <c r="C40" s="8">
        <f>Revenues!C37</f>
        <v>14894.000000000002</v>
      </c>
      <c r="D40" s="8">
        <f>Revenues!D37</f>
        <v>14894.000000000002</v>
      </c>
      <c r="E40" s="8">
        <f>Revenues!E37</f>
        <v>14894.000000000002</v>
      </c>
      <c r="F40" s="8">
        <f>Revenues!F37</f>
        <v>14894.000000000002</v>
      </c>
      <c r="G40" s="8">
        <f>Revenues!G37</f>
        <v>14894.000000000002</v>
      </c>
      <c r="H40" s="8">
        <f>Revenues!H37</f>
        <v>0</v>
      </c>
      <c r="I40" s="8">
        <f>Revenues!I37</f>
        <v>0</v>
      </c>
      <c r="J40" s="8">
        <f>Revenues!J37</f>
        <v>0</v>
      </c>
      <c r="K40" s="8">
        <f>Revenues!K37</f>
        <v>0</v>
      </c>
      <c r="L40" s="8">
        <f>Revenues!L37</f>
        <v>0</v>
      </c>
      <c r="M40" s="8">
        <f>Revenues!M37</f>
        <v>14894.000000000002</v>
      </c>
      <c r="N40" s="8">
        <f>Revenues!N37</f>
        <v>14894.000000000002</v>
      </c>
      <c r="O40" s="8">
        <f>Revenues!O37</f>
        <v>104258.00000000001</v>
      </c>
      <c r="P40" s="95"/>
      <c r="Q40" s="95"/>
      <c r="R40" s="53"/>
    </row>
    <row r="41" spans="1:37" ht="14.25" hidden="1" customHeight="1">
      <c r="A41" s="4" t="str">
        <f>Revenues!A38</f>
        <v>27 Tage Intensivtherapie</v>
      </c>
      <c r="B41" s="30">
        <f>Revenues!B38</f>
        <v>0</v>
      </c>
      <c r="C41" s="8">
        <f>Revenues!C38</f>
        <v>0</v>
      </c>
      <c r="D41" s="8">
        <f>Revenues!D38</f>
        <v>0</v>
      </c>
      <c r="E41" s="8">
        <f>Revenues!E38</f>
        <v>0</v>
      </c>
      <c r="F41" s="8">
        <f>Revenues!F38</f>
        <v>0</v>
      </c>
      <c r="G41" s="8">
        <f>Revenues!G38</f>
        <v>0</v>
      </c>
      <c r="H41" s="8">
        <f>Revenues!H38</f>
        <v>0</v>
      </c>
      <c r="I41" s="8">
        <f>Revenues!I38</f>
        <v>0</v>
      </c>
      <c r="J41" s="8">
        <f>Revenues!J38</f>
        <v>0</v>
      </c>
      <c r="K41" s="8">
        <f>Revenues!K38</f>
        <v>0</v>
      </c>
      <c r="L41" s="8">
        <f>Revenues!L38</f>
        <v>0</v>
      </c>
      <c r="M41" s="8">
        <f>Revenues!M38</f>
        <v>0</v>
      </c>
      <c r="N41" s="8">
        <f>Revenues!N38</f>
        <v>0</v>
      </c>
      <c r="O41" s="8">
        <f>Revenues!O38</f>
        <v>0</v>
      </c>
      <c r="P41" s="95"/>
      <c r="Q41" s="95"/>
      <c r="R41" s="53"/>
    </row>
    <row r="42" spans="1:37" ht="14.25" hidden="1" customHeight="1">
      <c r="A42" s="4" t="str">
        <f>Revenues!A39</f>
        <v>Verlängerungstage</v>
      </c>
      <c r="B42" s="30">
        <f>Revenues!B39</f>
        <v>0.13394750028909533</v>
      </c>
      <c r="C42" s="8">
        <f>Revenues!C39</f>
        <v>4368.5714285714294</v>
      </c>
      <c r="D42" s="8">
        <f>Revenues!D39</f>
        <v>4368.5714285714294</v>
      </c>
      <c r="E42" s="8">
        <f>Revenues!E39</f>
        <v>4368.5714285714294</v>
      </c>
      <c r="F42" s="8">
        <f>Revenues!F39</f>
        <v>4368.5714285714294</v>
      </c>
      <c r="G42" s="8">
        <f>Revenues!G39</f>
        <v>3276.428571428572</v>
      </c>
      <c r="H42" s="8">
        <f>Revenues!H39</f>
        <v>2184.2857142857147</v>
      </c>
      <c r="I42" s="8">
        <f>Revenues!I39</f>
        <v>1092.1428571428573</v>
      </c>
      <c r="J42" s="8">
        <f>Revenues!J39</f>
        <v>1092.1428571428573</v>
      </c>
      <c r="K42" s="8">
        <f>Revenues!K39</f>
        <v>2184.2857142857147</v>
      </c>
      <c r="L42" s="8">
        <f>Revenues!L39</f>
        <v>2184.2857142857147</v>
      </c>
      <c r="M42" s="8">
        <f>Revenues!M39</f>
        <v>4368.5714285714294</v>
      </c>
      <c r="N42" s="8">
        <f>Revenues!N39</f>
        <v>4368.5714285714294</v>
      </c>
      <c r="O42" s="8">
        <f>Revenues!O39</f>
        <v>38225.000000000007</v>
      </c>
      <c r="P42" s="95"/>
      <c r="Q42" s="95"/>
      <c r="R42" s="53"/>
    </row>
    <row r="43" spans="1:37" ht="14.25" hidden="1" customHeight="1">
      <c r="A43" s="4" t="str">
        <f>Revenues!A40</f>
        <v>Sonstige Dienstleistungen</v>
      </c>
      <c r="B43" s="30">
        <f>Revenues!B40</f>
        <v>0.11255444628608872</v>
      </c>
      <c r="C43" s="8">
        <f>Revenues!C40</f>
        <v>3850.0000000000005</v>
      </c>
      <c r="D43" s="8">
        <f>Revenues!D40</f>
        <v>3850.0000000000005</v>
      </c>
      <c r="E43" s="8">
        <f>Revenues!E40</f>
        <v>3850.0000000000005</v>
      </c>
      <c r="F43" s="8">
        <f>Revenues!F40</f>
        <v>3190.0000000000005</v>
      </c>
      <c r="G43" s="8">
        <f>Revenues!G40</f>
        <v>2200.0000000000005</v>
      </c>
      <c r="H43" s="8">
        <f>Revenues!H40</f>
        <v>1650.0000000000002</v>
      </c>
      <c r="I43" s="8">
        <f>Revenues!I40</f>
        <v>1320.0000000000002</v>
      </c>
      <c r="J43" s="8">
        <f>Revenues!J40</f>
        <v>1320.0000000000002</v>
      </c>
      <c r="K43" s="8">
        <f>Revenues!K40</f>
        <v>1650.0000000000002</v>
      </c>
      <c r="L43" s="8">
        <f>Revenues!L40</f>
        <v>1870.0000000000002</v>
      </c>
      <c r="M43" s="8">
        <f>Revenues!M40</f>
        <v>3520.0000000000005</v>
      </c>
      <c r="N43" s="8">
        <f>Revenues!N40</f>
        <v>3850.0000000000005</v>
      </c>
      <c r="O43" s="8">
        <f>Revenues!O40</f>
        <v>32120.000000000004</v>
      </c>
      <c r="P43" s="95"/>
      <c r="Q43" s="95"/>
      <c r="R43" s="53"/>
    </row>
    <row r="44" spans="1:37" ht="14.25" hidden="1" customHeight="1">
      <c r="A44" s="4" t="e">
        <f>Revenues!#REF!</f>
        <v>#REF!</v>
      </c>
      <c r="B44" s="30" t="e">
        <f>Revenues!#REF!</f>
        <v>#REF!</v>
      </c>
      <c r="C44" s="8" t="e">
        <f>Revenues!#REF!</f>
        <v>#REF!</v>
      </c>
      <c r="D44" s="8" t="e">
        <f>Revenues!#REF!</f>
        <v>#REF!</v>
      </c>
      <c r="E44" s="8" t="e">
        <f>Revenues!#REF!</f>
        <v>#REF!</v>
      </c>
      <c r="F44" s="8" t="e">
        <f>Revenues!#REF!</f>
        <v>#REF!</v>
      </c>
      <c r="G44" s="8" t="e">
        <f>Revenues!#REF!</f>
        <v>#REF!</v>
      </c>
      <c r="H44" s="8" t="e">
        <f>Revenues!#REF!</f>
        <v>#REF!</v>
      </c>
      <c r="I44" s="8" t="e">
        <f>Revenues!#REF!</f>
        <v>#REF!</v>
      </c>
      <c r="J44" s="8" t="e">
        <f>Revenues!#REF!</f>
        <v>#REF!</v>
      </c>
      <c r="K44" s="8" t="e">
        <f>Revenues!#REF!</f>
        <v>#REF!</v>
      </c>
      <c r="L44" s="8" t="e">
        <f>Revenues!#REF!</f>
        <v>#REF!</v>
      </c>
      <c r="M44" s="8" t="e">
        <f>Revenues!#REF!</f>
        <v>#REF!</v>
      </c>
      <c r="N44" s="8" t="e">
        <f>Revenues!#REF!</f>
        <v>#REF!</v>
      </c>
      <c r="O44" s="8" t="e">
        <f>Revenues!#REF!</f>
        <v>#REF!</v>
      </c>
      <c r="P44" s="95"/>
      <c r="Q44" s="95"/>
      <c r="R44" s="53"/>
    </row>
    <row r="45" spans="1:37" ht="14.25" hidden="1" customHeight="1">
      <c r="A45" s="4" t="e">
        <f>Revenues!#REF!</f>
        <v>#REF!</v>
      </c>
      <c r="B45" s="30" t="e">
        <f>Revenues!#REF!</f>
        <v>#REF!</v>
      </c>
      <c r="C45" s="8" t="e">
        <f>Revenues!#REF!</f>
        <v>#REF!</v>
      </c>
      <c r="D45" s="8" t="e">
        <f>Revenues!#REF!</f>
        <v>#REF!</v>
      </c>
      <c r="E45" s="8" t="e">
        <f>Revenues!#REF!</f>
        <v>#REF!</v>
      </c>
      <c r="F45" s="8" t="e">
        <f>Revenues!#REF!</f>
        <v>#REF!</v>
      </c>
      <c r="G45" s="8" t="e">
        <f>Revenues!#REF!</f>
        <v>#REF!</v>
      </c>
      <c r="H45" s="8" t="e">
        <f>Revenues!#REF!</f>
        <v>#REF!</v>
      </c>
      <c r="I45" s="8" t="e">
        <f>Revenues!#REF!</f>
        <v>#REF!</v>
      </c>
      <c r="J45" s="8" t="e">
        <f>Revenues!#REF!</f>
        <v>#REF!</v>
      </c>
      <c r="K45" s="8" t="e">
        <f>Revenues!#REF!</f>
        <v>#REF!</v>
      </c>
      <c r="L45" s="8" t="e">
        <f>Revenues!#REF!</f>
        <v>#REF!</v>
      </c>
      <c r="M45" s="8" t="e">
        <f>Revenues!#REF!</f>
        <v>#REF!</v>
      </c>
      <c r="N45" s="8" t="e">
        <f>Revenues!#REF!</f>
        <v>#REF!</v>
      </c>
      <c r="O45" s="8" t="e">
        <f>Revenues!#REF!</f>
        <v>#REF!</v>
      </c>
      <c r="P45" s="95"/>
      <c r="Q45" s="95"/>
      <c r="R45" s="53"/>
    </row>
    <row r="46" spans="1:37" ht="14.25" hidden="1" customHeight="1">
      <c r="A46" s="4" t="e">
        <f>Revenues!#REF!</f>
        <v>#REF!</v>
      </c>
      <c r="B46" s="30" t="e">
        <f>Revenues!#REF!</f>
        <v>#REF!</v>
      </c>
      <c r="C46" s="8" t="e">
        <f>Revenues!#REF!</f>
        <v>#REF!</v>
      </c>
      <c r="D46" s="8" t="e">
        <f>Revenues!#REF!</f>
        <v>#REF!</v>
      </c>
      <c r="E46" s="8" t="e">
        <f>Revenues!#REF!</f>
        <v>#REF!</v>
      </c>
      <c r="F46" s="8" t="e">
        <f>Revenues!#REF!</f>
        <v>#REF!</v>
      </c>
      <c r="G46" s="8" t="e">
        <f>Revenues!#REF!</f>
        <v>#REF!</v>
      </c>
      <c r="H46" s="8" t="e">
        <f>Revenues!#REF!</f>
        <v>#REF!</v>
      </c>
      <c r="I46" s="8" t="e">
        <f>Revenues!#REF!</f>
        <v>#REF!</v>
      </c>
      <c r="J46" s="8" t="e">
        <f>Revenues!#REF!</f>
        <v>#REF!</v>
      </c>
      <c r="K46" s="8" t="e">
        <f>Revenues!#REF!</f>
        <v>#REF!</v>
      </c>
      <c r="L46" s="8" t="e">
        <f>Revenues!#REF!</f>
        <v>#REF!</v>
      </c>
      <c r="M46" s="8" t="e">
        <f>Revenues!#REF!</f>
        <v>#REF!</v>
      </c>
      <c r="N46" s="8" t="e">
        <f>Revenues!#REF!</f>
        <v>#REF!</v>
      </c>
      <c r="O46" s="8" t="e">
        <f>Revenues!#REF!</f>
        <v>#REF!</v>
      </c>
      <c r="P46" s="95"/>
      <c r="Q46" s="95"/>
      <c r="R46" s="53"/>
    </row>
    <row r="47" spans="1:37" ht="14.25" hidden="1" customHeight="1">
      <c r="A47" s="61" t="str">
        <f>Revenues!A41</f>
        <v>Summe Umsatz</v>
      </c>
      <c r="B47" s="99"/>
      <c r="C47" s="50">
        <f>Revenues!C41</f>
        <v>36477.571428571435</v>
      </c>
      <c r="D47" s="50">
        <f>Revenues!D41</f>
        <v>36477.571428571435</v>
      </c>
      <c r="E47" s="50">
        <f>Revenues!E41</f>
        <v>36477.571428571435</v>
      </c>
      <c r="F47" s="50">
        <f>Revenues!F41</f>
        <v>35817.571428571435</v>
      </c>
      <c r="G47" s="50">
        <f>Revenues!G41</f>
        <v>28015.428571428576</v>
      </c>
      <c r="H47" s="50">
        <f>Revenues!H41</f>
        <v>11479.285714285716</v>
      </c>
      <c r="I47" s="50">
        <f>Revenues!I41</f>
        <v>2412.1428571428578</v>
      </c>
      <c r="J47" s="50">
        <f>Revenues!J41</f>
        <v>2412.1428571428578</v>
      </c>
      <c r="K47" s="50">
        <f>Revenues!K41</f>
        <v>11479.285714285716</v>
      </c>
      <c r="L47" s="50">
        <f>Revenues!L41</f>
        <v>11699.285714285716</v>
      </c>
      <c r="M47" s="50">
        <f>Revenues!M41</f>
        <v>36147.571428571435</v>
      </c>
      <c r="N47" s="50">
        <f>Revenues!N41</f>
        <v>36477.571428571435</v>
      </c>
      <c r="O47" s="50">
        <f>Revenues!O41</f>
        <v>285373.00000000006</v>
      </c>
      <c r="P47" s="95"/>
      <c r="Q47" s="95"/>
      <c r="R47" s="53"/>
    </row>
    <row r="48" spans="1:37" ht="14.25" customHeight="1">
      <c r="A48" s="59"/>
      <c r="B48" s="100" t="s">
        <v>2</v>
      </c>
      <c r="C48" s="94" t="s">
        <v>3</v>
      </c>
      <c r="D48" s="100" t="s">
        <v>4</v>
      </c>
      <c r="E48" s="94" t="s">
        <v>5</v>
      </c>
      <c r="F48" s="100" t="s">
        <v>6</v>
      </c>
      <c r="G48" s="94" t="s">
        <v>7</v>
      </c>
      <c r="H48" s="100" t="s">
        <v>8</v>
      </c>
      <c r="I48" s="94" t="s">
        <v>9</v>
      </c>
      <c r="J48" s="100" t="s">
        <v>10</v>
      </c>
      <c r="K48" s="94" t="s">
        <v>11</v>
      </c>
      <c r="L48" s="100" t="s">
        <v>12</v>
      </c>
      <c r="M48" s="94" t="s">
        <v>13</v>
      </c>
      <c r="N48" s="100" t="s">
        <v>273</v>
      </c>
      <c r="O48" s="94" t="s">
        <v>274</v>
      </c>
      <c r="P48" s="100" t="s">
        <v>275</v>
      </c>
      <c r="Q48" s="94" t="s">
        <v>276</v>
      </c>
      <c r="R48" s="100" t="s">
        <v>277</v>
      </c>
      <c r="S48" s="94" t="s">
        <v>278</v>
      </c>
      <c r="T48" s="100" t="s">
        <v>279</v>
      </c>
      <c r="U48" s="94" t="s">
        <v>280</v>
      </c>
      <c r="V48" s="100" t="s">
        <v>281</v>
      </c>
      <c r="W48" s="94" t="s">
        <v>282</v>
      </c>
      <c r="X48" s="100" t="s">
        <v>283</v>
      </c>
      <c r="Y48" s="94" t="s">
        <v>284</v>
      </c>
      <c r="Z48" s="100" t="s">
        <v>285</v>
      </c>
      <c r="AA48" s="94" t="s">
        <v>286</v>
      </c>
      <c r="AB48" s="100" t="s">
        <v>287</v>
      </c>
      <c r="AC48" s="94" t="s">
        <v>288</v>
      </c>
      <c r="AD48" s="100" t="s">
        <v>289</v>
      </c>
      <c r="AE48" s="94" t="s">
        <v>290</v>
      </c>
      <c r="AF48" s="100" t="s">
        <v>291</v>
      </c>
      <c r="AG48" s="94" t="s">
        <v>292</v>
      </c>
      <c r="AH48" s="100" t="s">
        <v>293</v>
      </c>
      <c r="AI48" s="94" t="s">
        <v>294</v>
      </c>
      <c r="AJ48" s="100" t="s">
        <v>295</v>
      </c>
      <c r="AK48" s="94" t="s">
        <v>296</v>
      </c>
    </row>
    <row r="49" spans="1:38" ht="15.6">
      <c r="A49" s="9" t="s">
        <v>297</v>
      </c>
      <c r="B49" s="40">
        <f>Financials!B29</f>
        <v>20000</v>
      </c>
      <c r="C49" s="40">
        <f>Financials!C29</f>
        <v>22000</v>
      </c>
      <c r="D49" s="40">
        <f>Financials!D29</f>
        <v>24000</v>
      </c>
      <c r="E49" s="40">
        <f>Financials!E29</f>
        <v>18000</v>
      </c>
      <c r="F49" s="40">
        <f>Financials!F29</f>
        <v>14000.000000000002</v>
      </c>
      <c r="G49" s="40">
        <f>Financials!G29</f>
        <v>10000</v>
      </c>
      <c r="H49" s="40">
        <f>Financials!H29</f>
        <v>8000</v>
      </c>
      <c r="I49" s="40">
        <f>Financials!I29</f>
        <v>8000</v>
      </c>
      <c r="J49" s="40">
        <f>Financials!J29</f>
        <v>10000</v>
      </c>
      <c r="K49" s="40">
        <f>Financials!K29</f>
        <v>14000.000000000002</v>
      </c>
      <c r="L49" s="40">
        <f>Financials!L29</f>
        <v>26000</v>
      </c>
      <c r="M49" s="40">
        <f>Financials!M29</f>
        <v>26000</v>
      </c>
      <c r="N49" s="40">
        <f>Financials!B35</f>
        <v>36000</v>
      </c>
      <c r="O49" s="40">
        <f>Financials!C35</f>
        <v>36000</v>
      </c>
      <c r="P49" s="40">
        <f>Financials!D35</f>
        <v>36000</v>
      </c>
      <c r="Q49" s="40">
        <f>Financials!E35</f>
        <v>30000</v>
      </c>
      <c r="R49" s="40">
        <f>Financials!F35</f>
        <v>21000.000000000004</v>
      </c>
      <c r="S49" s="40">
        <f>Financials!G35</f>
        <v>15000</v>
      </c>
      <c r="T49" s="40">
        <f>Financials!H35</f>
        <v>12000</v>
      </c>
      <c r="U49" s="40">
        <f>Financials!I35</f>
        <v>12000</v>
      </c>
      <c r="V49" s="40">
        <f>Financials!J35</f>
        <v>15000</v>
      </c>
      <c r="W49" s="40">
        <f>Financials!K35</f>
        <v>18000</v>
      </c>
      <c r="X49" s="40">
        <f>Financials!L35</f>
        <v>33000</v>
      </c>
      <c r="Y49" s="40">
        <f>Financials!M35</f>
        <v>36000</v>
      </c>
      <c r="Z49" s="40">
        <f>Financials!B41</f>
        <v>48000</v>
      </c>
      <c r="AA49" s="40">
        <f>Financials!C41</f>
        <v>48000</v>
      </c>
      <c r="AB49" s="40">
        <f>Financials!D41</f>
        <v>48000</v>
      </c>
      <c r="AC49" s="40">
        <f>Financials!E41</f>
        <v>40000</v>
      </c>
      <c r="AD49" s="40">
        <f>Financials!F41</f>
        <v>28000.000000000004</v>
      </c>
      <c r="AE49" s="40">
        <f>Financials!G41</f>
        <v>20000</v>
      </c>
      <c r="AF49" s="40">
        <f>Financials!H41</f>
        <v>16000</v>
      </c>
      <c r="AG49" s="40">
        <f>Financials!I41</f>
        <v>16000</v>
      </c>
      <c r="AH49" s="40">
        <f>Financials!J41</f>
        <v>20000</v>
      </c>
      <c r="AI49" s="40">
        <f>Financials!K41</f>
        <v>24000</v>
      </c>
      <c r="AJ49" s="40">
        <f>Financials!L41</f>
        <v>44000</v>
      </c>
      <c r="AK49" s="40">
        <f>Financials!M41</f>
        <v>48000</v>
      </c>
      <c r="AL49" s="35"/>
    </row>
    <row r="50" spans="1:38" ht="15.6">
      <c r="A50" s="9"/>
    </row>
    <row r="51" spans="1:38" ht="14.25" customHeight="1">
      <c r="B51" s="23" t="s">
        <v>14</v>
      </c>
      <c r="C51" s="23" t="s">
        <v>15</v>
      </c>
      <c r="D51" s="23" t="s">
        <v>16</v>
      </c>
    </row>
    <row r="52" spans="1:38" ht="14.25" customHeight="1">
      <c r="A52" s="32" t="s">
        <v>298</v>
      </c>
      <c r="B52" s="8">
        <f>Financials!S29</f>
        <v>93777.011115561967</v>
      </c>
      <c r="C52" s="8">
        <f>Financials!T29</f>
        <v>131122.42338891112</v>
      </c>
      <c r="D52" s="8">
        <f>Financials!U29</f>
        <v>147978.56917252234</v>
      </c>
    </row>
    <row r="53" spans="1:38" ht="14.25" customHeight="1">
      <c r="A53" s="19"/>
      <c r="B53" s="35"/>
      <c r="C53" s="35"/>
      <c r="D53" s="35"/>
    </row>
    <row r="54" spans="1:38" ht="14.25" customHeight="1"/>
    <row r="55" spans="1:38" ht="14.25" customHeight="1"/>
    <row r="56" spans="1:38" ht="14.25" customHeight="1"/>
    <row r="57" spans="1:38" ht="14.25" customHeight="1"/>
    <row r="58" spans="1:38" ht="14.25" customHeight="1"/>
    <row r="59" spans="1:38" ht="14.25" customHeight="1"/>
    <row r="60" spans="1:38" ht="14.25" customHeight="1"/>
    <row r="61" spans="1:38" ht="14.25" customHeight="1"/>
    <row r="62" spans="1:38" ht="14.25" customHeight="1"/>
    <row r="63" spans="1:38" ht="14.25" customHeight="1"/>
    <row r="64" spans="1:38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B34:O34"/>
    <mergeCell ref="O3:P3"/>
    <mergeCell ref="Q3:R3"/>
    <mergeCell ref="A1:K1"/>
    <mergeCell ref="E3:F3"/>
    <mergeCell ref="G3:H3"/>
    <mergeCell ref="I3:J3"/>
    <mergeCell ref="K3:L3"/>
    <mergeCell ref="M3:N3"/>
    <mergeCell ref="B4:O4"/>
    <mergeCell ref="B19:O19"/>
  </mergeCells>
  <pageMargins left="0.7" right="0.7" top="0.75" bottom="0.75" header="0" footer="0"/>
  <pageSetup orientation="landscape" r:id="rId1"/>
  <headerFooter>
    <oddHeader>&amp;CFinanzplan - Grafiken</oddHeader>
    <oddFooter>&amp;C&amp;P von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4140625" defaultRowHeight="15" customHeight="1"/>
  <cols>
    <col min="1" max="26" width="10" customWidth="1"/>
  </cols>
  <sheetData>
    <row r="1" spans="1:1" ht="14.25" customHeight="1">
      <c r="A1" t="s">
        <v>186</v>
      </c>
    </row>
    <row r="2" spans="1:1" ht="14.25" customHeight="1">
      <c r="A2" t="s">
        <v>187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Investments</vt:lpstr>
      <vt:lpstr>Financials</vt:lpstr>
      <vt:lpstr>Revenues</vt:lpstr>
      <vt:lpstr>Diagrams</vt:lpstr>
      <vt:lpstr>Lizenz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BrainHive</dc:creator>
  <cp:lastModifiedBy>Benutzer</cp:lastModifiedBy>
  <cp:lastPrinted>2018-09-05T21:07:45Z</cp:lastPrinted>
  <dcterms:created xsi:type="dcterms:W3CDTF">2018-09-05T21:08:59Z</dcterms:created>
  <dcterms:modified xsi:type="dcterms:W3CDTF">2018-09-05T21:10:08Z</dcterms:modified>
</cp:coreProperties>
</file>